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2695" windowHeight="10680"/>
  </bookViews>
  <sheets>
    <sheet name="KKP - 2021" sheetId="1" r:id="rId1"/>
  </sheets>
  <calcPr calcId="145621"/>
</workbook>
</file>

<file path=xl/calcChain.xml><?xml version="1.0" encoding="utf-8"?>
<calcChain xmlns="http://schemas.openxmlformats.org/spreadsheetml/2006/main">
  <c r="C50" i="1" l="1"/>
  <c r="C45" i="1"/>
  <c r="C40" i="1"/>
  <c r="M32" i="1" l="1"/>
  <c r="K32" i="1"/>
  <c r="M31" i="1"/>
  <c r="K31" i="1"/>
  <c r="M30" i="1"/>
  <c r="K30" i="1"/>
  <c r="M29" i="1"/>
  <c r="K29" i="1"/>
  <c r="M28" i="1"/>
  <c r="K28" i="1"/>
  <c r="J28" i="1" s="1"/>
  <c r="N28" i="1" s="1"/>
  <c r="M27" i="1"/>
  <c r="K27" i="1"/>
  <c r="M26" i="1"/>
  <c r="K26" i="1"/>
  <c r="J26" i="1" s="1"/>
  <c r="N26" i="1" s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I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P33" i="1"/>
  <c r="E43" i="1" s="1"/>
  <c r="W33" i="1"/>
  <c r="E48" i="1" s="1"/>
  <c r="E38" i="1" l="1"/>
  <c r="E53" i="1"/>
  <c r="E58" i="1" s="1"/>
  <c r="J17" i="1"/>
  <c r="N17" i="1" s="1"/>
  <c r="J21" i="1"/>
  <c r="N21" i="1" s="1"/>
  <c r="J25" i="1"/>
  <c r="N25" i="1" s="1"/>
  <c r="J19" i="1"/>
  <c r="N19" i="1" s="1"/>
  <c r="J15" i="1"/>
  <c r="N15" i="1" s="1"/>
  <c r="C11" i="1"/>
  <c r="G11" i="1" s="1"/>
  <c r="C15" i="1"/>
  <c r="G15" i="1" s="1"/>
  <c r="C19" i="1"/>
  <c r="G19" i="1" s="1"/>
  <c r="C23" i="1"/>
  <c r="G23" i="1" s="1"/>
  <c r="C27" i="1"/>
  <c r="G27" i="1" s="1"/>
  <c r="F33" i="1"/>
  <c r="C31" i="1"/>
  <c r="G31" i="1" s="1"/>
  <c r="D33" i="1"/>
  <c r="C12" i="1"/>
  <c r="E12" i="1" s="1"/>
  <c r="C16" i="1"/>
  <c r="E16" i="1" s="1"/>
  <c r="C20" i="1"/>
  <c r="E20" i="1" s="1"/>
  <c r="C24" i="1"/>
  <c r="E24" i="1" s="1"/>
  <c r="C28" i="1"/>
  <c r="E28" i="1" s="1"/>
  <c r="C32" i="1"/>
  <c r="G32" i="1" s="1"/>
  <c r="J27" i="1"/>
  <c r="N27" i="1" s="1"/>
  <c r="K33" i="1"/>
  <c r="M33" i="1"/>
  <c r="J16" i="1"/>
  <c r="N16" i="1" s="1"/>
  <c r="J13" i="1"/>
  <c r="N13" i="1" s="1"/>
  <c r="J29" i="1"/>
  <c r="N29" i="1" s="1"/>
  <c r="J23" i="1"/>
  <c r="N23" i="1" s="1"/>
  <c r="J20" i="1"/>
  <c r="N20" i="1" s="1"/>
  <c r="J14" i="1"/>
  <c r="N14" i="1" s="1"/>
  <c r="C14" i="1"/>
  <c r="E14" i="1" s="1"/>
  <c r="C18" i="1"/>
  <c r="E18" i="1" s="1"/>
  <c r="C22" i="1"/>
  <c r="E22" i="1" s="1"/>
  <c r="C10" i="1"/>
  <c r="E10" i="1" s="1"/>
  <c r="C26" i="1"/>
  <c r="E26" i="1" s="1"/>
  <c r="C30" i="1"/>
  <c r="E30" i="1" s="1"/>
  <c r="C9" i="1"/>
  <c r="G9" i="1" s="1"/>
  <c r="C13" i="1"/>
  <c r="E13" i="1" s="1"/>
  <c r="C17" i="1"/>
  <c r="G17" i="1" s="1"/>
  <c r="C21" i="1"/>
  <c r="G21" i="1" s="1"/>
  <c r="C25" i="1"/>
  <c r="G25" i="1" s="1"/>
  <c r="C29" i="1"/>
  <c r="G29" i="1" s="1"/>
  <c r="C8" i="1"/>
  <c r="E8" i="1" s="1"/>
  <c r="J32" i="1"/>
  <c r="N32" i="1" s="1"/>
  <c r="J31" i="1"/>
  <c r="N31" i="1" s="1"/>
  <c r="J30" i="1"/>
  <c r="N30" i="1" s="1"/>
  <c r="L28" i="1"/>
  <c r="O28" i="1" s="1"/>
  <c r="L26" i="1"/>
  <c r="O26" i="1" s="1"/>
  <c r="L25" i="1"/>
  <c r="O25" i="1" s="1"/>
  <c r="J24" i="1"/>
  <c r="N24" i="1" s="1"/>
  <c r="J22" i="1"/>
  <c r="N22" i="1" s="1"/>
  <c r="J18" i="1"/>
  <c r="N18" i="1" s="1"/>
  <c r="J12" i="1"/>
  <c r="N12" i="1" s="1"/>
  <c r="J11" i="1"/>
  <c r="N11" i="1" s="1"/>
  <c r="J10" i="1"/>
  <c r="N10" i="1" s="1"/>
  <c r="J9" i="1"/>
  <c r="L9" i="1" s="1"/>
  <c r="J8" i="1"/>
  <c r="R21" i="1"/>
  <c r="L15" i="1" l="1"/>
  <c r="O15" i="1" s="1"/>
  <c r="L13" i="1"/>
  <c r="O13" i="1" s="1"/>
  <c r="L17" i="1"/>
  <c r="O17" i="1" s="1"/>
  <c r="G20" i="1"/>
  <c r="H20" i="1" s="1"/>
  <c r="L21" i="1"/>
  <c r="O21" i="1" s="1"/>
  <c r="G28" i="1"/>
  <c r="L19" i="1"/>
  <c r="O19" i="1" s="1"/>
  <c r="E27" i="1"/>
  <c r="H27" i="1" s="1"/>
  <c r="E32" i="1"/>
  <c r="H32" i="1" s="1"/>
  <c r="E19" i="1"/>
  <c r="H19" i="1" s="1"/>
  <c r="G24" i="1"/>
  <c r="H24" i="1" s="1"/>
  <c r="E15" i="1"/>
  <c r="H15" i="1" s="1"/>
  <c r="G16" i="1"/>
  <c r="H16" i="1" s="1"/>
  <c r="L27" i="1"/>
  <c r="O27" i="1" s="1"/>
  <c r="L29" i="1"/>
  <c r="O29" i="1" s="1"/>
  <c r="E23" i="1"/>
  <c r="H23" i="1" s="1"/>
  <c r="L14" i="1"/>
  <c r="O14" i="1" s="1"/>
  <c r="J33" i="1"/>
  <c r="N33" i="1" s="1"/>
  <c r="D44" i="1" s="1"/>
  <c r="L23" i="1"/>
  <c r="O23" i="1" s="1"/>
  <c r="E11" i="1"/>
  <c r="H11" i="1" s="1"/>
  <c r="E31" i="1"/>
  <c r="H31" i="1" s="1"/>
  <c r="G8" i="1"/>
  <c r="H8" i="1" s="1"/>
  <c r="H28" i="1"/>
  <c r="G12" i="1"/>
  <c r="H12" i="1" s="1"/>
  <c r="E25" i="1"/>
  <c r="H25" i="1" s="1"/>
  <c r="E21" i="1"/>
  <c r="H21" i="1" s="1"/>
  <c r="E17" i="1"/>
  <c r="H17" i="1" s="1"/>
  <c r="G26" i="1"/>
  <c r="H26" i="1" s="1"/>
  <c r="L16" i="1"/>
  <c r="O16" i="1" s="1"/>
  <c r="G10" i="1"/>
  <c r="H10" i="1" s="1"/>
  <c r="C33" i="1"/>
  <c r="L22" i="1"/>
  <c r="O22" i="1" s="1"/>
  <c r="L20" i="1"/>
  <c r="O20" i="1" s="1"/>
  <c r="L11" i="1"/>
  <c r="O11" i="1" s="1"/>
  <c r="L8" i="1"/>
  <c r="N8" i="1"/>
  <c r="E9" i="1"/>
  <c r="H9" i="1" s="1"/>
  <c r="G22" i="1"/>
  <c r="H22" i="1" s="1"/>
  <c r="G13" i="1"/>
  <c r="H13" i="1" s="1"/>
  <c r="G18" i="1"/>
  <c r="H18" i="1" s="1"/>
  <c r="G14" i="1"/>
  <c r="H14" i="1" s="1"/>
  <c r="E29" i="1"/>
  <c r="H29" i="1" s="1"/>
  <c r="G30" i="1"/>
  <c r="H30" i="1" s="1"/>
  <c r="L32" i="1"/>
  <c r="O32" i="1" s="1"/>
  <c r="L31" i="1"/>
  <c r="O31" i="1" s="1"/>
  <c r="L30" i="1"/>
  <c r="O30" i="1" s="1"/>
  <c r="L24" i="1"/>
  <c r="O24" i="1" s="1"/>
  <c r="L18" i="1"/>
  <c r="O18" i="1" s="1"/>
  <c r="L12" i="1"/>
  <c r="O12" i="1" s="1"/>
  <c r="L10" i="1"/>
  <c r="O10" i="1" s="1"/>
  <c r="N9" i="1"/>
  <c r="O9" i="1" s="1"/>
  <c r="T32" i="1"/>
  <c r="T31" i="1"/>
  <c r="T30" i="1"/>
  <c r="T29" i="1"/>
  <c r="T28" i="1"/>
  <c r="R32" i="1"/>
  <c r="R31" i="1"/>
  <c r="R30" i="1"/>
  <c r="R29" i="1"/>
  <c r="R28" i="1"/>
  <c r="T27" i="1"/>
  <c r="R27" i="1"/>
  <c r="T26" i="1"/>
  <c r="R26" i="1"/>
  <c r="T25" i="1"/>
  <c r="R25" i="1"/>
  <c r="T24" i="1"/>
  <c r="R24" i="1"/>
  <c r="T23" i="1"/>
  <c r="R23" i="1"/>
  <c r="T22" i="1"/>
  <c r="T21" i="1"/>
  <c r="Q21" i="1" s="1"/>
  <c r="S21" i="1" s="1"/>
  <c r="R22" i="1"/>
  <c r="T20" i="1"/>
  <c r="R20" i="1"/>
  <c r="T19" i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  <c r="E33" i="1" l="1"/>
  <c r="Q10" i="1"/>
  <c r="U10" i="1" s="1"/>
  <c r="Q11" i="1"/>
  <c r="S11" i="1" s="1"/>
  <c r="Q28" i="1"/>
  <c r="S28" i="1" s="1"/>
  <c r="L33" i="1"/>
  <c r="G33" i="1"/>
  <c r="Q31" i="1"/>
  <c r="S31" i="1" s="1"/>
  <c r="Q25" i="1"/>
  <c r="S25" i="1" s="1"/>
  <c r="Q32" i="1"/>
  <c r="U32" i="1" s="1"/>
  <c r="Q17" i="1"/>
  <c r="U17" i="1" s="1"/>
  <c r="Q29" i="1"/>
  <c r="S29" i="1" s="1"/>
  <c r="Q15" i="1"/>
  <c r="S15" i="1" s="1"/>
  <c r="Q23" i="1"/>
  <c r="S23" i="1" s="1"/>
  <c r="Q27" i="1"/>
  <c r="S27" i="1" s="1"/>
  <c r="Q8" i="1"/>
  <c r="S8" i="1" s="1"/>
  <c r="Q9" i="1"/>
  <c r="U9" i="1" s="1"/>
  <c r="Q13" i="1"/>
  <c r="S13" i="1" s="1"/>
  <c r="Q30" i="1"/>
  <c r="U30" i="1" s="1"/>
  <c r="Q26" i="1"/>
  <c r="S26" i="1" s="1"/>
  <c r="Q18" i="1"/>
  <c r="U18" i="1" s="1"/>
  <c r="Q19" i="1"/>
  <c r="U19" i="1" s="1"/>
  <c r="R33" i="1"/>
  <c r="C53" i="1" s="1"/>
  <c r="T33" i="1"/>
  <c r="C54" i="1" s="1"/>
  <c r="Q24" i="1"/>
  <c r="S24" i="1" s="1"/>
  <c r="O8" i="1"/>
  <c r="Q22" i="1"/>
  <c r="U22" i="1" s="1"/>
  <c r="U21" i="1"/>
  <c r="V21" i="1" s="1"/>
  <c r="Q20" i="1"/>
  <c r="U20" i="1" s="1"/>
  <c r="S19" i="1"/>
  <c r="V19" i="1" s="1"/>
  <c r="Q16" i="1"/>
  <c r="U16" i="1" s="1"/>
  <c r="Q14" i="1"/>
  <c r="U14" i="1" s="1"/>
  <c r="Q12" i="1"/>
  <c r="U12" i="1" s="1"/>
  <c r="S10" i="1" l="1"/>
  <c r="V10" i="1" s="1"/>
  <c r="U25" i="1"/>
  <c r="V25" i="1" s="1"/>
  <c r="S9" i="1"/>
  <c r="V9" i="1" s="1"/>
  <c r="U11" i="1"/>
  <c r="V11" i="1" s="1"/>
  <c r="H33" i="1"/>
  <c r="D39" i="1"/>
  <c r="O33" i="1"/>
  <c r="D43" i="1"/>
  <c r="D45" i="1" s="1"/>
  <c r="U31" i="1"/>
  <c r="V31" i="1" s="1"/>
  <c r="D38" i="1"/>
  <c r="U13" i="1"/>
  <c r="V13" i="1" s="1"/>
  <c r="S14" i="1"/>
  <c r="V14" i="1" s="1"/>
  <c r="U15" i="1"/>
  <c r="V15" i="1" s="1"/>
  <c r="S17" i="1"/>
  <c r="V17" i="1" s="1"/>
  <c r="S30" i="1"/>
  <c r="V30" i="1" s="1"/>
  <c r="U28" i="1"/>
  <c r="V28" i="1" s="1"/>
  <c r="U23" i="1"/>
  <c r="V23" i="1" s="1"/>
  <c r="U29" i="1"/>
  <c r="V29" i="1" s="1"/>
  <c r="S32" i="1"/>
  <c r="V32" i="1" s="1"/>
  <c r="U26" i="1"/>
  <c r="V26" i="1" s="1"/>
  <c r="S18" i="1"/>
  <c r="V18" i="1" s="1"/>
  <c r="U27" i="1"/>
  <c r="V27" i="1" s="1"/>
  <c r="U8" i="1"/>
  <c r="V8" i="1" s="1"/>
  <c r="U24" i="1"/>
  <c r="V24" i="1" s="1"/>
  <c r="S12" i="1"/>
  <c r="V12" i="1" s="1"/>
  <c r="Q33" i="1"/>
  <c r="S22" i="1"/>
  <c r="V22" i="1" s="1"/>
  <c r="S20" i="1"/>
  <c r="V20" i="1" s="1"/>
  <c r="S16" i="1"/>
  <c r="V16" i="1" s="1"/>
  <c r="D40" i="1" l="1"/>
  <c r="S33" i="1"/>
  <c r="C55" i="1"/>
  <c r="U33" i="1"/>
  <c r="D48" i="1" l="1"/>
  <c r="D53" i="1"/>
  <c r="V33" i="1"/>
  <c r="D55" i="1" s="1"/>
  <c r="D49" i="1"/>
  <c r="D54" i="1"/>
  <c r="D58" i="1" s="1"/>
  <c r="D50" i="1" l="1"/>
</calcChain>
</file>

<file path=xl/sharedStrings.xml><?xml version="1.0" encoding="utf-8"?>
<sst xmlns="http://schemas.openxmlformats.org/spreadsheetml/2006/main" count="87" uniqueCount="50">
  <si>
    <t>INDEKS KEPUASAN PELANGGAN (CSI) PSAS 2021</t>
  </si>
  <si>
    <t>MENCAPAI SASARAN YANG DITETAPKAN DALAM CSI PERKHIDMATAN YANG DIJALANKAN DI PERPUSTAKAAN</t>
  </si>
  <si>
    <t>Perkara</t>
  </si>
  <si>
    <t>Pra Siswazah</t>
  </si>
  <si>
    <t>Siswazah</t>
  </si>
  <si>
    <t>Staf</t>
  </si>
  <si>
    <t>Jumlah Responden</t>
  </si>
  <si>
    <t>Jumlah Skala 1-3</t>
  </si>
  <si>
    <t>Peratus</t>
  </si>
  <si>
    <t>Jumlah Skala 4-5</t>
  </si>
  <si>
    <t>Mean</t>
  </si>
  <si>
    <t>Jumlah Skala   4-5</t>
  </si>
  <si>
    <t>Kecukupan bahan bacaan dalam bidang yang diambil</t>
  </si>
  <si>
    <t>Kecukupan pangkalan data dalam talian dalam bidang yang diambil</t>
  </si>
  <si>
    <t>Kecukupan bahan audio visual (CDs, Video/Kaset audio, dll)</t>
  </si>
  <si>
    <t xml:space="preserve">Buku/jurnal mudah dijumpai di rak </t>
  </si>
  <si>
    <t>Waktu operasi perpustakaan</t>
  </si>
  <si>
    <t>Khidmat Nasihat dan Perkhidmatan Rujukan</t>
  </si>
  <si>
    <t>Perkhidmatan Pembekalan Dokumen</t>
  </si>
  <si>
    <t>Ruang bacaan/ruang santai</t>
  </si>
  <si>
    <t>Bilik bacaan ringan</t>
  </si>
  <si>
    <t>Kemudahan salinan foto dan percetakan</t>
  </si>
  <si>
    <t>Ruang, suhu dan pencahayaan</t>
  </si>
  <si>
    <t>Tandas</t>
  </si>
  <si>
    <t>Katalog perpustakaan (WebOPAC)</t>
  </si>
  <si>
    <t>Berpengetahuan dan cekap menjalankan tugas</t>
  </si>
  <si>
    <t xml:space="preserve">Penjelasan yang tepat dan mudah difahami </t>
  </si>
  <si>
    <t>Memberi maklum balas dengan cepat</t>
  </si>
  <si>
    <t>Sentiasa bersedia untuk membantu dan memberi tunjuk ajar</t>
  </si>
  <si>
    <t>Media sosial  perpustakaan (Facebook, Instagram, Twitter)</t>
  </si>
  <si>
    <t>Laman web perpustakaan</t>
  </si>
  <si>
    <t>Tunjuk arah</t>
  </si>
  <si>
    <t>Makluman mengenai perkhidmatan dan kemudahan baharu</t>
  </si>
  <si>
    <t xml:space="preserve">Jumlah </t>
  </si>
  <si>
    <t xml:space="preserve">Peratus </t>
  </si>
  <si>
    <t>Mesin pinjaman layan diri/Kotak pemulangan buku</t>
  </si>
  <si>
    <t>Kemudahan Internet tanpa wayar (Hotspot/WiFi)</t>
  </si>
  <si>
    <t>Bil.</t>
  </si>
  <si>
    <t>Peratus
Keseluruhan</t>
  </si>
  <si>
    <t>Sasaran: Mencapai 70% Indeks Kepuasan Pelanggan Pada Skala 4 dan 5</t>
  </si>
  <si>
    <t>Peratus responden yang memilih skala 1 - 3</t>
  </si>
  <si>
    <t>Peratus responden yang memilih skala 4 - 5</t>
  </si>
  <si>
    <t xml:space="preserve">Disediakan oleh: </t>
  </si>
  <si>
    <t>Bahagian Rujukan</t>
  </si>
  <si>
    <t>Perpustakaan Sultan Abdul Samad</t>
  </si>
  <si>
    <t>Universiti Putra Malaysia</t>
  </si>
  <si>
    <t>JUMLAH</t>
  </si>
  <si>
    <t>Akses kepada perkhidmatan maklumat perpustakaan dalam talian melalui EzAccess</t>
  </si>
  <si>
    <t>Akses kepada sumber elektronik</t>
  </si>
  <si>
    <t>Peratus Pencapaian Sebenar Kajian Kepuasan Pelanggan (KKP) 2021 -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</si>
</sst>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rgb="FF000000"/>
      <name val="Arial"/>
    </font>
    <font>
      <sz val="12"/>
      <color theme="1"/>
      <name val="Arial"/>
      <family val="2"/>
    </font>
    <font>
      <sz val="12"/>
      <color rgb="FF000000"/>
      <name val="Calibri Light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Arial"/>
      <family val="2"/>
    </font>
    <font>
      <b/>
      <sz val="14"/>
      <color rgb="FF000000"/>
      <name val="Century Gothic"/>
      <family val="2"/>
    </font>
    <font>
      <b/>
      <sz val="14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Arial"/>
      <family val="2"/>
    </font>
    <font>
      <sz val="10"/>
      <color theme="1"/>
      <name val="Calibri Light"/>
      <family val="2"/>
    </font>
    <font>
      <b/>
      <sz val="10"/>
      <color theme="1"/>
      <name val="Arial"/>
      <family val="2"/>
    </font>
    <font>
      <b/>
      <sz val="10"/>
      <color rgb="FF000000"/>
      <name val="Candara"/>
      <family val="2"/>
    </font>
    <font>
      <b/>
      <sz val="10"/>
      <color theme="1"/>
      <name val="Candara"/>
      <family val="2"/>
    </font>
    <font>
      <b/>
      <sz val="10"/>
      <name val="Candara"/>
      <family val="2"/>
    </font>
    <font>
      <sz val="10"/>
      <color theme="1"/>
      <name val="Candara"/>
      <family val="2"/>
    </font>
    <font>
      <sz val="10"/>
      <color rgb="FF000000"/>
      <name val="Candara"/>
      <family val="2"/>
    </font>
    <font>
      <sz val="10"/>
      <color rgb="FF000000"/>
      <name val="Ebrima"/>
    </font>
    <font>
      <sz val="12"/>
      <color theme="1"/>
      <name val="Ebrima"/>
    </font>
    <font>
      <b/>
      <sz val="12"/>
      <color theme="1"/>
      <name val="Ebrima"/>
    </font>
    <font>
      <b/>
      <sz val="12"/>
      <color rgb="FF000000"/>
      <name val="Ebrima"/>
    </font>
    <font>
      <b/>
      <sz val="12"/>
      <name val="Ebrima"/>
    </font>
    <font>
      <sz val="12"/>
      <color rgb="FF000000"/>
      <name val="Ebrima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92CDD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B6DDE8"/>
      </patternFill>
    </fill>
    <fill>
      <patternFill patternType="solid">
        <fgColor theme="6" tint="0.79998168889431442"/>
        <bgColor rgb="FFF2DBDB"/>
      </patternFill>
    </fill>
    <fill>
      <patternFill patternType="solid">
        <fgColor theme="6" tint="0.59999389629810485"/>
        <bgColor rgb="FFFDE9D9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rgb="FFCCC0D9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/>
    <xf numFmtId="0" fontId="7" fillId="0" borderId="1" xfId="0" applyFont="1" applyFill="1" applyBorder="1" applyAlignment="1">
      <alignment horizontal="center" vertical="top" wrapText="1"/>
    </xf>
    <xf numFmtId="1" fontId="9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" fontId="2" fillId="0" borderId="0" xfId="0" applyNumberFormat="1" applyFont="1" applyAlignment="1"/>
    <xf numFmtId="2" fontId="9" fillId="0" borderId="0" xfId="0" applyNumberFormat="1" applyFont="1" applyAlignment="1">
      <alignment horizontal="center" vertical="center"/>
    </xf>
    <xf numFmtId="2" fontId="4" fillId="0" borderId="0" xfId="0" applyNumberFormat="1" applyFont="1" applyAlignment="1"/>
    <xf numFmtId="10" fontId="4" fillId="0" borderId="0" xfId="1" applyNumberFormat="1" applyFont="1" applyAlignment="1"/>
    <xf numFmtId="1" fontId="4" fillId="0" borderId="0" xfId="0" applyNumberFormat="1" applyFont="1" applyAlignment="1"/>
    <xf numFmtId="1" fontId="2" fillId="0" borderId="0" xfId="0" applyNumberFormat="1" applyFont="1" applyAlignment="1"/>
    <xf numFmtId="0" fontId="12" fillId="5" borderId="25" xfId="0" applyFont="1" applyFill="1" applyBorder="1" applyAlignment="1"/>
    <xf numFmtId="0" fontId="11" fillId="0" borderId="1" xfId="0" applyFont="1" applyFill="1" applyBorder="1" applyAlignment="1"/>
    <xf numFmtId="0" fontId="12" fillId="0" borderId="1" xfId="0" applyFont="1" applyFill="1" applyBorder="1" applyAlignment="1"/>
    <xf numFmtId="1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2" fontId="11" fillId="3" borderId="27" xfId="0" applyNumberFormat="1" applyFont="1" applyFill="1" applyBorder="1" applyAlignment="1">
      <alignment horizontal="center" vertical="center"/>
    </xf>
    <xf numFmtId="2" fontId="11" fillId="3" borderId="26" xfId="0" applyNumberFormat="1" applyFont="1" applyFill="1" applyBorder="1" applyAlignment="1">
      <alignment horizontal="center"/>
    </xf>
    <xf numFmtId="0" fontId="14" fillId="0" borderId="0" xfId="0" applyFont="1" applyAlignment="1"/>
    <xf numFmtId="0" fontId="6" fillId="0" borderId="0" xfId="0" applyFont="1" applyAlignment="1"/>
    <xf numFmtId="0" fontId="15" fillId="0" borderId="16" xfId="0" applyFont="1" applyBorder="1" applyAlignment="1">
      <alignment vertical="center" wrapText="1"/>
    </xf>
    <xf numFmtId="1" fontId="15" fillId="2" borderId="8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/>
    </xf>
    <xf numFmtId="2" fontId="15" fillId="4" borderId="9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1" fontId="16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5" fillId="5" borderId="20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vertical="center"/>
    </xf>
    <xf numFmtId="1" fontId="13" fillId="9" borderId="10" xfId="0" applyNumberFormat="1" applyFont="1" applyFill="1" applyBorder="1" applyAlignment="1">
      <alignment horizontal="center" vertical="center"/>
    </xf>
    <xf numFmtId="1" fontId="13" fillId="4" borderId="11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9" fillId="5" borderId="16" xfId="0" applyFont="1" applyFill="1" applyBorder="1"/>
    <xf numFmtId="0" fontId="18" fillId="4" borderId="5" xfId="0" applyFont="1" applyFill="1" applyBorder="1" applyAlignment="1">
      <alignment horizontal="center" vertical="center"/>
    </xf>
    <xf numFmtId="0" fontId="19" fillId="5" borderId="6" xfId="0" applyFont="1" applyFill="1" applyBorder="1"/>
    <xf numFmtId="0" fontId="19" fillId="5" borderId="7" xfId="0" applyFont="1" applyFill="1" applyBorder="1"/>
    <xf numFmtId="0" fontId="18" fillId="8" borderId="8" xfId="0" applyFont="1" applyFill="1" applyBorder="1" applyAlignment="1">
      <alignment horizontal="center" vertical="top" wrapText="1"/>
    </xf>
    <xf numFmtId="0" fontId="19" fillId="5" borderId="8" xfId="0" applyFont="1" applyFill="1" applyBorder="1"/>
    <xf numFmtId="0" fontId="18" fillId="8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/>
    </xf>
    <xf numFmtId="0" fontId="18" fillId="8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vertical="center"/>
    </xf>
    <xf numFmtId="0" fontId="18" fillId="8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4" fillId="0" borderId="28" xfId="0" applyFont="1" applyBorder="1" applyAlignment="1">
      <alignment horizontal="center"/>
    </xf>
    <xf numFmtId="0" fontId="26" fillId="0" borderId="28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/>
    <xf numFmtId="0" fontId="24" fillId="0" borderId="0" xfId="0" applyFont="1" applyAlignment="1">
      <alignment horizontal="center"/>
    </xf>
    <xf numFmtId="1" fontId="23" fillId="0" borderId="0" xfId="0" applyNumberFormat="1" applyFont="1" applyAlignment="1"/>
    <xf numFmtId="10" fontId="23" fillId="0" borderId="0" xfId="1" applyNumberFormat="1" applyFont="1" applyAlignment="1"/>
    <xf numFmtId="0" fontId="25" fillId="5" borderId="5" xfId="0" applyFont="1" applyFill="1" applyBorder="1" applyAlignment="1">
      <alignment horizontal="center"/>
    </xf>
    <xf numFmtId="0" fontId="24" fillId="6" borderId="16" xfId="0" applyFont="1" applyFill="1" applyBorder="1" applyAlignment="1">
      <alignment vertical="center"/>
    </xf>
    <xf numFmtId="0" fontId="24" fillId="6" borderId="17" xfId="0" applyFont="1" applyFill="1" applyBorder="1" applyAlignment="1">
      <alignment horizontal="center" vertical="center"/>
    </xf>
    <xf numFmtId="0" fontId="27" fillId="0" borderId="0" xfId="0" applyFont="1" applyAlignment="1"/>
    <xf numFmtId="15" fontId="24" fillId="5" borderId="5" xfId="0" applyNumberFormat="1" applyFont="1" applyFill="1" applyBorder="1" applyAlignment="1">
      <alignment horizontal="center"/>
    </xf>
    <xf numFmtId="15" fontId="24" fillId="5" borderId="15" xfId="0" applyNumberFormat="1" applyFont="1" applyFill="1" applyBorder="1" applyAlignment="1">
      <alignment horizontal="center"/>
    </xf>
    <xf numFmtId="0" fontId="24" fillId="6" borderId="8" xfId="0" applyFont="1" applyFill="1" applyBorder="1" applyAlignment="1">
      <alignment vertical="center"/>
    </xf>
    <xf numFmtId="15" fontId="23" fillId="5" borderId="15" xfId="0" applyNumberFormat="1" applyFont="1" applyFill="1" applyBorder="1" applyAlignment="1">
      <alignment horizontal="center"/>
    </xf>
    <xf numFmtId="0" fontId="25" fillId="5" borderId="24" xfId="0" applyFont="1" applyFill="1" applyBorder="1" applyAlignment="1"/>
    <xf numFmtId="0" fontId="24" fillId="10" borderId="6" xfId="0" applyFont="1" applyFill="1" applyBorder="1" applyAlignment="1">
      <alignment horizontal="center" vertical="top" wrapText="1"/>
    </xf>
    <xf numFmtId="0" fontId="24" fillId="10" borderId="7" xfId="0" applyFont="1" applyFill="1" applyBorder="1" applyAlignment="1">
      <alignment horizontal="center" vertical="top"/>
    </xf>
    <xf numFmtId="1" fontId="4" fillId="7" borderId="2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/>
    </xf>
    <xf numFmtId="2" fontId="4" fillId="7" borderId="11" xfId="0" applyNumberFormat="1" applyFont="1" applyFill="1" applyBorder="1" applyAlignment="1">
      <alignment horizontal="center"/>
    </xf>
    <xf numFmtId="2" fontId="3" fillId="2" borderId="2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9"/>
  <sheetViews>
    <sheetView tabSelected="1" topLeftCell="A40" zoomScale="90" zoomScaleNormal="90" workbookViewId="0">
      <pane xSplit="1" topLeftCell="B1" activePane="topRight" state="frozen"/>
      <selection pane="topRight" activeCell="G61" sqref="G61"/>
    </sheetView>
  </sheetViews>
  <sheetFormatPr defaultColWidth="14.42578125" defaultRowHeight="15" customHeight="1" x14ac:dyDescent="0.25"/>
  <cols>
    <col min="1" max="1" width="8.7109375" customWidth="1"/>
    <col min="2" max="2" width="65.140625" style="2" customWidth="1"/>
    <col min="3" max="3" width="11.7109375" style="2" customWidth="1"/>
    <col min="4" max="7" width="11.140625" style="2" customWidth="1"/>
    <col min="8" max="8" width="12.28515625" style="4" customWidth="1"/>
    <col min="9" max="9" width="11.140625" style="2" customWidth="1"/>
    <col min="10" max="10" width="11.7109375" style="2" customWidth="1"/>
    <col min="11" max="13" width="11.140625" style="2" customWidth="1"/>
    <col min="14" max="14" width="11.140625" style="4" customWidth="1"/>
    <col min="15" max="15" width="12.28515625" style="2" customWidth="1"/>
    <col min="16" max="16" width="11.140625" style="2" customWidth="1"/>
    <col min="17" max="17" width="11.7109375" style="2" customWidth="1"/>
    <col min="18" max="21" width="11.140625" style="2" customWidth="1"/>
    <col min="22" max="22" width="12.28515625" style="4" customWidth="1"/>
    <col min="23" max="23" width="11.140625" style="2" customWidth="1"/>
    <col min="24" max="30" width="8" customWidth="1"/>
  </cols>
  <sheetData>
    <row r="1" spans="1:24" s="68" customFormat="1" ht="18.75" customHeight="1" thickBot="1" x14ac:dyDescent="0.35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67"/>
    </row>
    <row r="2" spans="1:24" s="68" customFormat="1" ht="15.75" customHeight="1" x14ac:dyDescent="0.3">
      <c r="B2" s="71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67"/>
    </row>
    <row r="3" spans="1:24" s="68" customFormat="1" ht="15.75" customHeight="1" x14ac:dyDescent="0.3">
      <c r="B3" s="73" t="s">
        <v>39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67"/>
    </row>
    <row r="4" spans="1:24" ht="15" customHeight="1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"/>
    </row>
    <row r="5" spans="1:24" s="37" customFormat="1" ht="12.75" x14ac:dyDescent="0.2">
      <c r="A5" s="57" t="s">
        <v>37</v>
      </c>
      <c r="B5" s="44" t="s">
        <v>2</v>
      </c>
      <c r="C5" s="46" t="s">
        <v>3</v>
      </c>
      <c r="D5" s="47"/>
      <c r="E5" s="47"/>
      <c r="F5" s="47"/>
      <c r="G5" s="47"/>
      <c r="H5" s="47"/>
      <c r="I5" s="48"/>
      <c r="J5" s="62" t="s">
        <v>4</v>
      </c>
      <c r="K5" s="63"/>
      <c r="L5" s="63"/>
      <c r="M5" s="63"/>
      <c r="N5" s="63"/>
      <c r="O5" s="63"/>
      <c r="P5" s="64"/>
      <c r="Q5" s="62" t="s">
        <v>5</v>
      </c>
      <c r="R5" s="63"/>
      <c r="S5" s="63"/>
      <c r="T5" s="63"/>
      <c r="U5" s="63"/>
      <c r="V5" s="63"/>
      <c r="W5" s="64"/>
      <c r="X5" s="36"/>
    </row>
    <row r="6" spans="1:24" s="37" customFormat="1" ht="15.75" customHeight="1" x14ac:dyDescent="0.2">
      <c r="A6" s="58"/>
      <c r="B6" s="45"/>
      <c r="C6" s="49" t="s">
        <v>6</v>
      </c>
      <c r="D6" s="51" t="s">
        <v>7</v>
      </c>
      <c r="E6" s="51" t="s">
        <v>8</v>
      </c>
      <c r="F6" s="51" t="s">
        <v>9</v>
      </c>
      <c r="G6" s="51" t="s">
        <v>8</v>
      </c>
      <c r="H6" s="59" t="s">
        <v>38</v>
      </c>
      <c r="I6" s="53" t="s">
        <v>10</v>
      </c>
      <c r="J6" s="55" t="s">
        <v>6</v>
      </c>
      <c r="K6" s="51" t="s">
        <v>7</v>
      </c>
      <c r="L6" s="51" t="s">
        <v>8</v>
      </c>
      <c r="M6" s="51" t="s">
        <v>9</v>
      </c>
      <c r="N6" s="59" t="s">
        <v>8</v>
      </c>
      <c r="O6" s="59" t="s">
        <v>38</v>
      </c>
      <c r="P6" s="53" t="s">
        <v>10</v>
      </c>
      <c r="Q6" s="55" t="s">
        <v>6</v>
      </c>
      <c r="R6" s="51" t="s">
        <v>7</v>
      </c>
      <c r="S6" s="59" t="s">
        <v>8</v>
      </c>
      <c r="T6" s="59" t="s">
        <v>11</v>
      </c>
      <c r="U6" s="59" t="s">
        <v>8</v>
      </c>
      <c r="V6" s="59" t="s">
        <v>38</v>
      </c>
      <c r="W6" s="53" t="s">
        <v>10</v>
      </c>
      <c r="X6" s="36"/>
    </row>
    <row r="7" spans="1:24" s="37" customFormat="1" ht="15" customHeight="1" x14ac:dyDescent="0.2">
      <c r="A7" s="58"/>
      <c r="B7" s="45"/>
      <c r="C7" s="50"/>
      <c r="D7" s="52"/>
      <c r="E7" s="52"/>
      <c r="F7" s="52"/>
      <c r="G7" s="52"/>
      <c r="H7" s="60"/>
      <c r="I7" s="54"/>
      <c r="J7" s="56"/>
      <c r="K7" s="52"/>
      <c r="L7" s="52"/>
      <c r="M7" s="52"/>
      <c r="N7" s="60"/>
      <c r="O7" s="60"/>
      <c r="P7" s="54"/>
      <c r="Q7" s="56"/>
      <c r="R7" s="52"/>
      <c r="S7" s="61"/>
      <c r="T7" s="61"/>
      <c r="U7" s="60"/>
      <c r="V7" s="60"/>
      <c r="W7" s="54"/>
      <c r="X7" s="36"/>
    </row>
    <row r="8" spans="1:24" s="27" customFormat="1" ht="12.75" x14ac:dyDescent="0.2">
      <c r="A8" s="10">
        <v>1</v>
      </c>
      <c r="B8" s="28" t="s">
        <v>12</v>
      </c>
      <c r="C8" s="29">
        <f>D8+F8</f>
        <v>302</v>
      </c>
      <c r="D8" s="30">
        <f>2+24+99</f>
        <v>125</v>
      </c>
      <c r="E8" s="31">
        <f>D8/C8*100</f>
        <v>41.390728476821195</v>
      </c>
      <c r="F8" s="30">
        <f>134+43</f>
        <v>177</v>
      </c>
      <c r="G8" s="31">
        <f>F8/C8*100</f>
        <v>58.609271523178805</v>
      </c>
      <c r="H8" s="31">
        <f>G8+E8</f>
        <v>100</v>
      </c>
      <c r="I8" s="32">
        <v>3.64</v>
      </c>
      <c r="J8" s="29">
        <f>K8+M8</f>
        <v>201</v>
      </c>
      <c r="K8" s="30">
        <f>2+3+56</f>
        <v>61</v>
      </c>
      <c r="L8" s="31">
        <f>K8/J8*100</f>
        <v>30.348258706467661</v>
      </c>
      <c r="M8" s="30">
        <f>110+30</f>
        <v>140</v>
      </c>
      <c r="N8" s="31">
        <f>M8/J8*100</f>
        <v>69.651741293532339</v>
      </c>
      <c r="O8" s="31">
        <f>N8+L8</f>
        <v>100</v>
      </c>
      <c r="P8" s="32">
        <v>3.81</v>
      </c>
      <c r="Q8" s="29">
        <f>R8+T8</f>
        <v>114</v>
      </c>
      <c r="R8" s="30">
        <f>1+3+16</f>
        <v>20</v>
      </c>
      <c r="S8" s="31">
        <f>R8/Q8*100</f>
        <v>17.543859649122805</v>
      </c>
      <c r="T8" s="30">
        <f>71+23</f>
        <v>94</v>
      </c>
      <c r="U8" s="31">
        <f>T8/Q8*100</f>
        <v>82.456140350877192</v>
      </c>
      <c r="V8" s="31">
        <f>U8+S8</f>
        <v>100</v>
      </c>
      <c r="W8" s="32">
        <v>3.98</v>
      </c>
      <c r="X8" s="26"/>
    </row>
    <row r="9" spans="1:24" s="27" customFormat="1" ht="12.75" x14ac:dyDescent="0.2">
      <c r="A9" s="10">
        <v>2</v>
      </c>
      <c r="B9" s="28" t="s">
        <v>13</v>
      </c>
      <c r="C9" s="29">
        <f t="shared" ref="C9:C32" si="0">D9+F9</f>
        <v>302</v>
      </c>
      <c r="D9" s="30">
        <f>2+19+71</f>
        <v>92</v>
      </c>
      <c r="E9" s="31">
        <f t="shared" ref="E9:E32" si="1">D9/C9*100</f>
        <v>30.463576158940398</v>
      </c>
      <c r="F9" s="30">
        <f>151+59</f>
        <v>210</v>
      </c>
      <c r="G9" s="31">
        <f t="shared" ref="G9:G32" si="2">F9/C9*100</f>
        <v>69.536423841059602</v>
      </c>
      <c r="H9" s="31">
        <f t="shared" ref="H9:H32" si="3">G9+E9</f>
        <v>100</v>
      </c>
      <c r="I9" s="32">
        <v>3.81</v>
      </c>
      <c r="J9" s="29">
        <f t="shared" ref="J9:J32" si="4">K9+M9</f>
        <v>201</v>
      </c>
      <c r="K9" s="30">
        <f>3+5+38</f>
        <v>46</v>
      </c>
      <c r="L9" s="31">
        <f t="shared" ref="L9:L32" si="5">K9/J9*100</f>
        <v>22.885572139303484</v>
      </c>
      <c r="M9" s="30">
        <f>108+47</f>
        <v>155</v>
      </c>
      <c r="N9" s="31">
        <f t="shared" ref="N9:N32" si="6">M9/J9*100</f>
        <v>77.114427860696523</v>
      </c>
      <c r="O9" s="31">
        <f t="shared" ref="O9:O32" si="7">N9+L9</f>
        <v>100</v>
      </c>
      <c r="P9" s="32">
        <v>3.95</v>
      </c>
      <c r="Q9" s="29">
        <f t="shared" ref="Q9:Q32" si="8">R9+T9</f>
        <v>114</v>
      </c>
      <c r="R9" s="30">
        <f>2+3+13</f>
        <v>18</v>
      </c>
      <c r="S9" s="31">
        <f t="shared" ref="S9:S32" si="9">R9/Q9*100</f>
        <v>15.789473684210526</v>
      </c>
      <c r="T9" s="30">
        <f>74+22</f>
        <v>96</v>
      </c>
      <c r="U9" s="31">
        <f t="shared" ref="U9:U32" si="10">T9/Q9*100</f>
        <v>84.210526315789465</v>
      </c>
      <c r="V9" s="31">
        <f t="shared" ref="V9:V32" si="11">U9+S9</f>
        <v>99.999999999999986</v>
      </c>
      <c r="W9" s="32">
        <v>3.97</v>
      </c>
      <c r="X9" s="26"/>
    </row>
    <row r="10" spans="1:24" s="27" customFormat="1" ht="12.75" x14ac:dyDescent="0.2">
      <c r="A10" s="10">
        <v>3</v>
      </c>
      <c r="B10" s="33" t="s">
        <v>14</v>
      </c>
      <c r="C10" s="29">
        <f t="shared" si="0"/>
        <v>302</v>
      </c>
      <c r="D10" s="30">
        <f>8+110+102</f>
        <v>220</v>
      </c>
      <c r="E10" s="31">
        <f t="shared" si="1"/>
        <v>72.847682119205288</v>
      </c>
      <c r="F10" s="30">
        <f>53+29</f>
        <v>82</v>
      </c>
      <c r="G10" s="31">
        <f t="shared" si="2"/>
        <v>27.152317880794701</v>
      </c>
      <c r="H10" s="31">
        <f t="shared" si="3"/>
        <v>99.999999999999986</v>
      </c>
      <c r="I10" s="32">
        <v>2.95</v>
      </c>
      <c r="J10" s="29">
        <f t="shared" si="4"/>
        <v>201</v>
      </c>
      <c r="K10" s="30">
        <f>5+47+66</f>
        <v>118</v>
      </c>
      <c r="L10" s="31">
        <f t="shared" si="5"/>
        <v>58.706467661691541</v>
      </c>
      <c r="M10" s="30">
        <f>50+33</f>
        <v>83</v>
      </c>
      <c r="N10" s="31">
        <f t="shared" si="6"/>
        <v>41.293532338308459</v>
      </c>
      <c r="O10" s="31">
        <f t="shared" si="7"/>
        <v>100</v>
      </c>
      <c r="P10" s="32">
        <v>3.29</v>
      </c>
      <c r="Q10" s="29">
        <f t="shared" si="8"/>
        <v>114</v>
      </c>
      <c r="R10" s="30">
        <f>5+8+33</f>
        <v>46</v>
      </c>
      <c r="S10" s="31">
        <f t="shared" si="9"/>
        <v>40.350877192982452</v>
      </c>
      <c r="T10" s="30">
        <f>48+20</f>
        <v>68</v>
      </c>
      <c r="U10" s="31">
        <f t="shared" si="10"/>
        <v>59.649122807017541</v>
      </c>
      <c r="V10" s="31">
        <f t="shared" si="11"/>
        <v>100</v>
      </c>
      <c r="W10" s="32">
        <v>3.61</v>
      </c>
      <c r="X10" s="26"/>
    </row>
    <row r="11" spans="1:24" s="27" customFormat="1" ht="12.75" x14ac:dyDescent="0.2">
      <c r="A11" s="10">
        <v>4</v>
      </c>
      <c r="B11" s="28" t="s">
        <v>48</v>
      </c>
      <c r="C11" s="29">
        <f t="shared" si="0"/>
        <v>302</v>
      </c>
      <c r="D11" s="30">
        <f>2+74+103</f>
        <v>179</v>
      </c>
      <c r="E11" s="31">
        <f t="shared" si="1"/>
        <v>59.271523178807954</v>
      </c>
      <c r="F11" s="30">
        <f>78+45</f>
        <v>123</v>
      </c>
      <c r="G11" s="31">
        <f t="shared" si="2"/>
        <v>40.728476821192054</v>
      </c>
      <c r="H11" s="31">
        <f t="shared" si="3"/>
        <v>100</v>
      </c>
      <c r="I11" s="32">
        <v>3.3</v>
      </c>
      <c r="J11" s="29">
        <f t="shared" si="4"/>
        <v>201</v>
      </c>
      <c r="K11" s="30">
        <f>3+13+56</f>
        <v>72</v>
      </c>
      <c r="L11" s="31">
        <f t="shared" si="5"/>
        <v>35.820895522388057</v>
      </c>
      <c r="M11" s="30">
        <f>90+39</f>
        <v>129</v>
      </c>
      <c r="N11" s="31">
        <f t="shared" si="6"/>
        <v>64.179104477611943</v>
      </c>
      <c r="O11" s="31">
        <f t="shared" si="7"/>
        <v>100</v>
      </c>
      <c r="P11" s="32">
        <v>3.74</v>
      </c>
      <c r="Q11" s="29">
        <f t="shared" si="8"/>
        <v>114</v>
      </c>
      <c r="R11" s="30">
        <f>2+2+12</f>
        <v>16</v>
      </c>
      <c r="S11" s="31">
        <f t="shared" si="9"/>
        <v>14.035087719298245</v>
      </c>
      <c r="T11" s="30">
        <f>65+33</f>
        <v>98</v>
      </c>
      <c r="U11" s="31">
        <f t="shared" si="10"/>
        <v>85.964912280701753</v>
      </c>
      <c r="V11" s="31">
        <f t="shared" si="11"/>
        <v>100</v>
      </c>
      <c r="W11" s="32">
        <v>4.0999999999999996</v>
      </c>
      <c r="X11" s="26"/>
    </row>
    <row r="12" spans="1:24" s="27" customFormat="1" ht="12.75" x14ac:dyDescent="0.2">
      <c r="A12" s="10">
        <v>5</v>
      </c>
      <c r="B12" s="28" t="s">
        <v>15</v>
      </c>
      <c r="C12" s="29">
        <f t="shared" si="0"/>
        <v>302</v>
      </c>
      <c r="D12" s="30">
        <f>2+9+78</f>
        <v>89</v>
      </c>
      <c r="E12" s="31">
        <f t="shared" si="1"/>
        <v>29.47019867549669</v>
      </c>
      <c r="F12" s="30">
        <f>127+86</f>
        <v>213</v>
      </c>
      <c r="G12" s="31">
        <f t="shared" si="2"/>
        <v>70.52980132450331</v>
      </c>
      <c r="H12" s="31">
        <f t="shared" si="3"/>
        <v>100</v>
      </c>
      <c r="I12" s="32">
        <v>3.95</v>
      </c>
      <c r="J12" s="29">
        <f t="shared" si="4"/>
        <v>201</v>
      </c>
      <c r="K12" s="30">
        <f>3+3+28</f>
        <v>34</v>
      </c>
      <c r="L12" s="31">
        <f t="shared" si="5"/>
        <v>16.915422885572141</v>
      </c>
      <c r="M12" s="30">
        <f>95+72</f>
        <v>167</v>
      </c>
      <c r="N12" s="31">
        <f t="shared" si="6"/>
        <v>83.084577114427859</v>
      </c>
      <c r="O12" s="31">
        <f t="shared" si="7"/>
        <v>100</v>
      </c>
      <c r="P12" s="32">
        <v>4.1399999999999997</v>
      </c>
      <c r="Q12" s="29">
        <f t="shared" si="8"/>
        <v>114</v>
      </c>
      <c r="R12" s="30">
        <f>1+1+12</f>
        <v>14</v>
      </c>
      <c r="S12" s="31">
        <f t="shared" si="9"/>
        <v>12.280701754385964</v>
      </c>
      <c r="T12" s="30">
        <f>54+46</f>
        <v>100</v>
      </c>
      <c r="U12" s="31">
        <f t="shared" si="10"/>
        <v>87.719298245614027</v>
      </c>
      <c r="V12" s="31">
        <f t="shared" si="11"/>
        <v>99.999999999999986</v>
      </c>
      <c r="W12" s="32">
        <v>4.25</v>
      </c>
      <c r="X12" s="26"/>
    </row>
    <row r="13" spans="1:24" s="27" customFormat="1" ht="12.75" x14ac:dyDescent="0.2">
      <c r="A13" s="10">
        <v>6</v>
      </c>
      <c r="B13" s="34" t="s">
        <v>16</v>
      </c>
      <c r="C13" s="29">
        <f t="shared" si="0"/>
        <v>302</v>
      </c>
      <c r="D13" s="30">
        <f>3+2+20</f>
        <v>25</v>
      </c>
      <c r="E13" s="31">
        <f t="shared" si="1"/>
        <v>8.2781456953642394</v>
      </c>
      <c r="F13" s="30">
        <f>115+162</f>
        <v>277</v>
      </c>
      <c r="G13" s="31">
        <f t="shared" si="2"/>
        <v>91.721854304635769</v>
      </c>
      <c r="H13" s="31">
        <f t="shared" si="3"/>
        <v>100.00000000000001</v>
      </c>
      <c r="I13" s="32">
        <v>4.43</v>
      </c>
      <c r="J13" s="29">
        <f t="shared" si="4"/>
        <v>201</v>
      </c>
      <c r="K13" s="30">
        <f>5+4+14</f>
        <v>23</v>
      </c>
      <c r="L13" s="31">
        <f t="shared" si="5"/>
        <v>11.442786069651742</v>
      </c>
      <c r="M13" s="30">
        <f>52+126</f>
        <v>178</v>
      </c>
      <c r="N13" s="31">
        <f t="shared" si="6"/>
        <v>88.557213930348254</v>
      </c>
      <c r="O13" s="31">
        <f t="shared" si="7"/>
        <v>100</v>
      </c>
      <c r="P13" s="32">
        <v>4.4400000000000004</v>
      </c>
      <c r="Q13" s="29">
        <f t="shared" si="8"/>
        <v>114</v>
      </c>
      <c r="R13" s="30">
        <f>0+0+5</f>
        <v>5</v>
      </c>
      <c r="S13" s="31">
        <f t="shared" si="9"/>
        <v>4.3859649122807012</v>
      </c>
      <c r="T13" s="30">
        <f>42+67</f>
        <v>109</v>
      </c>
      <c r="U13" s="31">
        <f t="shared" si="10"/>
        <v>95.614035087719301</v>
      </c>
      <c r="V13" s="31">
        <f t="shared" si="11"/>
        <v>100</v>
      </c>
      <c r="W13" s="32">
        <v>4.54</v>
      </c>
      <c r="X13" s="26"/>
    </row>
    <row r="14" spans="1:24" s="27" customFormat="1" ht="12.75" x14ac:dyDescent="0.2">
      <c r="A14" s="10">
        <v>7</v>
      </c>
      <c r="B14" s="28" t="s">
        <v>17</v>
      </c>
      <c r="C14" s="29">
        <f t="shared" si="0"/>
        <v>302</v>
      </c>
      <c r="D14" s="30">
        <f>1+0+86</f>
        <v>87</v>
      </c>
      <c r="E14" s="31">
        <f t="shared" si="1"/>
        <v>28.807947019867548</v>
      </c>
      <c r="F14" s="30">
        <f>117+98</f>
        <v>215</v>
      </c>
      <c r="G14" s="31">
        <f t="shared" si="2"/>
        <v>71.192052980132445</v>
      </c>
      <c r="H14" s="31">
        <f t="shared" si="3"/>
        <v>100</v>
      </c>
      <c r="I14" s="32">
        <v>4.03</v>
      </c>
      <c r="J14" s="29">
        <f t="shared" si="4"/>
        <v>201</v>
      </c>
      <c r="K14" s="30">
        <f>0+3+28</f>
        <v>31</v>
      </c>
      <c r="L14" s="31">
        <f t="shared" si="5"/>
        <v>15.422885572139302</v>
      </c>
      <c r="M14" s="30">
        <f>79+91</f>
        <v>170</v>
      </c>
      <c r="N14" s="31">
        <f t="shared" si="6"/>
        <v>84.577114427860707</v>
      </c>
      <c r="O14" s="31">
        <f t="shared" si="7"/>
        <v>100.00000000000001</v>
      </c>
      <c r="P14" s="32">
        <v>4.28</v>
      </c>
      <c r="Q14" s="29">
        <f t="shared" si="8"/>
        <v>114</v>
      </c>
      <c r="R14" s="30">
        <f>0+0+5</f>
        <v>5</v>
      </c>
      <c r="S14" s="31">
        <f t="shared" si="9"/>
        <v>4.3859649122807012</v>
      </c>
      <c r="T14" s="30">
        <f>41+68</f>
        <v>109</v>
      </c>
      <c r="U14" s="31">
        <f t="shared" si="10"/>
        <v>95.614035087719301</v>
      </c>
      <c r="V14" s="31">
        <f t="shared" si="11"/>
        <v>100</v>
      </c>
      <c r="W14" s="32">
        <v>4.55</v>
      </c>
      <c r="X14" s="26"/>
    </row>
    <row r="15" spans="1:24" s="27" customFormat="1" ht="12.75" x14ac:dyDescent="0.2">
      <c r="A15" s="10">
        <v>8</v>
      </c>
      <c r="B15" s="28" t="s">
        <v>18</v>
      </c>
      <c r="C15" s="29">
        <f t="shared" si="0"/>
        <v>302</v>
      </c>
      <c r="D15" s="30">
        <f>1+68+105</f>
        <v>174</v>
      </c>
      <c r="E15" s="31">
        <f t="shared" si="1"/>
        <v>57.615894039735096</v>
      </c>
      <c r="F15" s="30">
        <f>78+50</f>
        <v>128</v>
      </c>
      <c r="G15" s="31">
        <f t="shared" si="2"/>
        <v>42.384105960264904</v>
      </c>
      <c r="H15" s="31">
        <f t="shared" si="3"/>
        <v>100</v>
      </c>
      <c r="I15" s="32">
        <v>3.36</v>
      </c>
      <c r="J15" s="29">
        <f t="shared" si="4"/>
        <v>201</v>
      </c>
      <c r="K15" s="30">
        <f>2+12+69</f>
        <v>83</v>
      </c>
      <c r="L15" s="31">
        <f t="shared" si="5"/>
        <v>41.293532338308459</v>
      </c>
      <c r="M15" s="30">
        <f>70+48</f>
        <v>118</v>
      </c>
      <c r="N15" s="31">
        <f t="shared" si="6"/>
        <v>58.706467661691541</v>
      </c>
      <c r="O15" s="31">
        <f t="shared" si="7"/>
        <v>100</v>
      </c>
      <c r="P15" s="32">
        <v>3.75</v>
      </c>
      <c r="Q15" s="29">
        <f t="shared" si="8"/>
        <v>114</v>
      </c>
      <c r="R15" s="30">
        <f>0+0+19</f>
        <v>19</v>
      </c>
      <c r="S15" s="31">
        <f t="shared" si="9"/>
        <v>16.666666666666664</v>
      </c>
      <c r="T15" s="30">
        <f>50+45</f>
        <v>95</v>
      </c>
      <c r="U15" s="31">
        <f t="shared" si="10"/>
        <v>83.333333333333343</v>
      </c>
      <c r="V15" s="31">
        <f t="shared" si="11"/>
        <v>100</v>
      </c>
      <c r="W15" s="32">
        <v>4.2300000000000004</v>
      </c>
      <c r="X15" s="26"/>
    </row>
    <row r="16" spans="1:24" s="27" customFormat="1" ht="12.75" x14ac:dyDescent="0.2">
      <c r="A16" s="10">
        <v>9</v>
      </c>
      <c r="B16" s="28" t="s">
        <v>35</v>
      </c>
      <c r="C16" s="29">
        <f t="shared" si="0"/>
        <v>302</v>
      </c>
      <c r="D16" s="30">
        <f>1+10+90</f>
        <v>101</v>
      </c>
      <c r="E16" s="31">
        <f t="shared" si="1"/>
        <v>33.443708609271525</v>
      </c>
      <c r="F16" s="30">
        <f>81+120</f>
        <v>201</v>
      </c>
      <c r="G16" s="31">
        <f t="shared" si="2"/>
        <v>66.556291390728475</v>
      </c>
      <c r="H16" s="31">
        <f t="shared" si="3"/>
        <v>100</v>
      </c>
      <c r="I16" s="32">
        <v>4.0199999999999996</v>
      </c>
      <c r="J16" s="29">
        <f t="shared" si="4"/>
        <v>201</v>
      </c>
      <c r="K16" s="30">
        <f>0+3+25</f>
        <v>28</v>
      </c>
      <c r="L16" s="31">
        <f t="shared" si="5"/>
        <v>13.930348258706468</v>
      </c>
      <c r="M16" s="30">
        <f>60+113</f>
        <v>173</v>
      </c>
      <c r="N16" s="31">
        <f t="shared" si="6"/>
        <v>86.069651741293526</v>
      </c>
      <c r="O16" s="31">
        <f t="shared" si="7"/>
        <v>100</v>
      </c>
      <c r="P16" s="32">
        <v>4.41</v>
      </c>
      <c r="Q16" s="29">
        <f t="shared" si="8"/>
        <v>114</v>
      </c>
      <c r="R16" s="30">
        <f>4+0+5</f>
        <v>9</v>
      </c>
      <c r="S16" s="31">
        <f t="shared" si="9"/>
        <v>7.8947368421052628</v>
      </c>
      <c r="T16" s="30">
        <f>35+70</f>
        <v>105</v>
      </c>
      <c r="U16" s="31">
        <f t="shared" si="10"/>
        <v>92.10526315789474</v>
      </c>
      <c r="V16" s="31">
        <f t="shared" si="11"/>
        <v>100</v>
      </c>
      <c r="W16" s="32">
        <v>4.46</v>
      </c>
      <c r="X16" s="26"/>
    </row>
    <row r="17" spans="1:24" s="27" customFormat="1" ht="12.75" x14ac:dyDescent="0.2">
      <c r="A17" s="10">
        <v>10</v>
      </c>
      <c r="B17" s="28" t="s">
        <v>19</v>
      </c>
      <c r="C17" s="29">
        <f t="shared" si="0"/>
        <v>302</v>
      </c>
      <c r="D17" s="30">
        <f>1+1+20</f>
        <v>22</v>
      </c>
      <c r="E17" s="31">
        <f t="shared" si="1"/>
        <v>7.2847682119205297</v>
      </c>
      <c r="F17" s="30">
        <f>123+157</f>
        <v>280</v>
      </c>
      <c r="G17" s="31">
        <f t="shared" si="2"/>
        <v>92.715231788079464</v>
      </c>
      <c r="H17" s="31">
        <f t="shared" si="3"/>
        <v>100</v>
      </c>
      <c r="I17" s="32">
        <v>4.4400000000000004</v>
      </c>
      <c r="J17" s="29">
        <f t="shared" si="4"/>
        <v>201</v>
      </c>
      <c r="K17" s="30">
        <f>1+2+12</f>
        <v>15</v>
      </c>
      <c r="L17" s="31">
        <f t="shared" si="5"/>
        <v>7.4626865671641784</v>
      </c>
      <c r="M17" s="30">
        <f>52+134</f>
        <v>186</v>
      </c>
      <c r="N17" s="31">
        <f t="shared" si="6"/>
        <v>92.537313432835816</v>
      </c>
      <c r="O17" s="31">
        <f t="shared" si="7"/>
        <v>100</v>
      </c>
      <c r="P17" s="32">
        <v>4.57</v>
      </c>
      <c r="Q17" s="29">
        <f t="shared" si="8"/>
        <v>114</v>
      </c>
      <c r="R17" s="30">
        <f>0+0+8</f>
        <v>8</v>
      </c>
      <c r="S17" s="31">
        <f t="shared" si="9"/>
        <v>7.0175438596491224</v>
      </c>
      <c r="T17" s="30">
        <f>38+68</f>
        <v>106</v>
      </c>
      <c r="U17" s="31">
        <f t="shared" si="10"/>
        <v>92.982456140350877</v>
      </c>
      <c r="V17" s="31">
        <f t="shared" si="11"/>
        <v>100</v>
      </c>
      <c r="W17" s="32">
        <v>4.53</v>
      </c>
      <c r="X17" s="26"/>
    </row>
    <row r="18" spans="1:24" s="27" customFormat="1" ht="12.75" x14ac:dyDescent="0.2">
      <c r="A18" s="10">
        <v>11</v>
      </c>
      <c r="B18" s="28" t="s">
        <v>20</v>
      </c>
      <c r="C18" s="29">
        <f t="shared" si="0"/>
        <v>302</v>
      </c>
      <c r="D18" s="30">
        <f>2+0+73</f>
        <v>75</v>
      </c>
      <c r="E18" s="31">
        <f t="shared" si="1"/>
        <v>24.834437086092713</v>
      </c>
      <c r="F18" s="30">
        <f>110+117</f>
        <v>227</v>
      </c>
      <c r="G18" s="31">
        <f t="shared" si="2"/>
        <v>75.16556291390728</v>
      </c>
      <c r="H18" s="31">
        <f t="shared" si="3"/>
        <v>100</v>
      </c>
      <c r="I18" s="32">
        <v>4.13</v>
      </c>
      <c r="J18" s="29">
        <f t="shared" si="4"/>
        <v>201</v>
      </c>
      <c r="K18" s="30">
        <f>1+1+24</f>
        <v>26</v>
      </c>
      <c r="L18" s="31">
        <f t="shared" si="5"/>
        <v>12.935323383084576</v>
      </c>
      <c r="M18" s="30">
        <f>62+113</f>
        <v>175</v>
      </c>
      <c r="N18" s="31">
        <f t="shared" si="6"/>
        <v>87.06467661691542</v>
      </c>
      <c r="O18" s="31">
        <f t="shared" si="7"/>
        <v>100</v>
      </c>
      <c r="P18" s="32">
        <v>4.42</v>
      </c>
      <c r="Q18" s="29">
        <f t="shared" si="8"/>
        <v>114</v>
      </c>
      <c r="R18" s="30">
        <f>2+0+7</f>
        <v>9</v>
      </c>
      <c r="S18" s="31">
        <f t="shared" si="9"/>
        <v>7.8947368421052628</v>
      </c>
      <c r="T18" s="30">
        <f>37+68</f>
        <v>105</v>
      </c>
      <c r="U18" s="31">
        <f t="shared" si="10"/>
        <v>92.10526315789474</v>
      </c>
      <c r="V18" s="31">
        <f t="shared" si="11"/>
        <v>100</v>
      </c>
      <c r="W18" s="32">
        <v>4.4800000000000004</v>
      </c>
      <c r="X18" s="26"/>
    </row>
    <row r="19" spans="1:24" s="27" customFormat="1" ht="12.75" x14ac:dyDescent="0.2">
      <c r="A19" s="10">
        <v>12</v>
      </c>
      <c r="B19" s="28" t="s">
        <v>21</v>
      </c>
      <c r="C19" s="29">
        <f t="shared" si="0"/>
        <v>302</v>
      </c>
      <c r="D19" s="30">
        <f>2+45+108</f>
        <v>155</v>
      </c>
      <c r="E19" s="31">
        <f t="shared" si="1"/>
        <v>51.324503311258276</v>
      </c>
      <c r="F19" s="30">
        <f>97+50</f>
        <v>147</v>
      </c>
      <c r="G19" s="31">
        <f t="shared" si="2"/>
        <v>48.675496688741724</v>
      </c>
      <c r="H19" s="31">
        <f t="shared" si="3"/>
        <v>100</v>
      </c>
      <c r="I19" s="32">
        <v>3.49</v>
      </c>
      <c r="J19" s="29">
        <f t="shared" si="4"/>
        <v>201</v>
      </c>
      <c r="K19" s="30">
        <f>1+14+67</f>
        <v>82</v>
      </c>
      <c r="L19" s="31">
        <f t="shared" si="5"/>
        <v>40.796019900497512</v>
      </c>
      <c r="M19" s="30">
        <f>83+36</f>
        <v>119</v>
      </c>
      <c r="N19" s="31">
        <f t="shared" si="6"/>
        <v>59.203980099502488</v>
      </c>
      <c r="O19" s="31">
        <f t="shared" si="7"/>
        <v>100</v>
      </c>
      <c r="P19" s="32">
        <v>3.69</v>
      </c>
      <c r="Q19" s="29">
        <f t="shared" si="8"/>
        <v>114</v>
      </c>
      <c r="R19" s="30">
        <f>0+3+18</f>
        <v>21</v>
      </c>
      <c r="S19" s="31">
        <f t="shared" si="9"/>
        <v>18.421052631578945</v>
      </c>
      <c r="T19" s="30">
        <f>46+47</f>
        <v>93</v>
      </c>
      <c r="U19" s="31">
        <f t="shared" si="10"/>
        <v>81.578947368421055</v>
      </c>
      <c r="V19" s="31">
        <f t="shared" si="11"/>
        <v>100</v>
      </c>
      <c r="W19" s="32">
        <v>4.2</v>
      </c>
      <c r="X19" s="26"/>
    </row>
    <row r="20" spans="1:24" s="27" customFormat="1" ht="12.75" x14ac:dyDescent="0.2">
      <c r="A20" s="10">
        <v>13</v>
      </c>
      <c r="B20" s="28" t="s">
        <v>22</v>
      </c>
      <c r="C20" s="29">
        <f t="shared" si="0"/>
        <v>302</v>
      </c>
      <c r="D20" s="30">
        <f>1+0+53</f>
        <v>54</v>
      </c>
      <c r="E20" s="31">
        <f t="shared" si="1"/>
        <v>17.880794701986755</v>
      </c>
      <c r="F20" s="30">
        <f>123+125</f>
        <v>248</v>
      </c>
      <c r="G20" s="31">
        <f t="shared" si="2"/>
        <v>82.119205298013242</v>
      </c>
      <c r="H20" s="31">
        <f t="shared" si="3"/>
        <v>100</v>
      </c>
      <c r="I20" s="32">
        <v>4.2300000000000004</v>
      </c>
      <c r="J20" s="29">
        <f t="shared" si="4"/>
        <v>201</v>
      </c>
      <c r="K20" s="30">
        <f>1+1+16</f>
        <v>18</v>
      </c>
      <c r="L20" s="31">
        <f t="shared" si="5"/>
        <v>8.9552238805970141</v>
      </c>
      <c r="M20" s="30">
        <f>81+102</f>
        <v>183</v>
      </c>
      <c r="N20" s="31">
        <f t="shared" si="6"/>
        <v>91.044776119402982</v>
      </c>
      <c r="O20" s="31">
        <f t="shared" si="7"/>
        <v>100</v>
      </c>
      <c r="P20" s="32">
        <v>4.4000000000000004</v>
      </c>
      <c r="Q20" s="29">
        <f t="shared" si="8"/>
        <v>114</v>
      </c>
      <c r="R20" s="30">
        <f>0+3+10</f>
        <v>13</v>
      </c>
      <c r="S20" s="31">
        <f t="shared" si="9"/>
        <v>11.403508771929824</v>
      </c>
      <c r="T20" s="30">
        <f>35+66</f>
        <v>101</v>
      </c>
      <c r="U20" s="31">
        <f t="shared" si="10"/>
        <v>88.596491228070178</v>
      </c>
      <c r="V20" s="31">
        <f t="shared" si="11"/>
        <v>100</v>
      </c>
      <c r="W20" s="32">
        <v>4.4400000000000004</v>
      </c>
      <c r="X20" s="26"/>
    </row>
    <row r="21" spans="1:24" s="27" customFormat="1" ht="12.75" x14ac:dyDescent="0.2">
      <c r="A21" s="10">
        <v>14</v>
      </c>
      <c r="B21" s="28" t="s">
        <v>23</v>
      </c>
      <c r="C21" s="29">
        <f t="shared" si="0"/>
        <v>302</v>
      </c>
      <c r="D21" s="30">
        <f>10+72+105</f>
        <v>187</v>
      </c>
      <c r="E21" s="31">
        <f t="shared" si="1"/>
        <v>61.920529801324506</v>
      </c>
      <c r="F21" s="30">
        <f>65+50</f>
        <v>115</v>
      </c>
      <c r="G21" s="31">
        <f t="shared" si="2"/>
        <v>38.079470198675494</v>
      </c>
      <c r="H21" s="31">
        <f t="shared" si="3"/>
        <v>100</v>
      </c>
      <c r="I21" s="32">
        <v>3.24</v>
      </c>
      <c r="J21" s="29">
        <f t="shared" si="4"/>
        <v>201</v>
      </c>
      <c r="K21" s="30">
        <f>7+24+69</f>
        <v>100</v>
      </c>
      <c r="L21" s="31">
        <f t="shared" si="5"/>
        <v>49.75124378109453</v>
      </c>
      <c r="M21" s="30">
        <f>64+37</f>
        <v>101</v>
      </c>
      <c r="N21" s="31">
        <f t="shared" si="6"/>
        <v>50.248756218905477</v>
      </c>
      <c r="O21" s="31">
        <f t="shared" si="7"/>
        <v>100</v>
      </c>
      <c r="P21" s="32">
        <v>3.5</v>
      </c>
      <c r="Q21" s="29">
        <f t="shared" si="8"/>
        <v>114</v>
      </c>
      <c r="R21" s="30">
        <f>3+3+24</f>
        <v>30</v>
      </c>
      <c r="S21" s="31">
        <f t="shared" si="9"/>
        <v>26.315789473684209</v>
      </c>
      <c r="T21" s="30">
        <f>53+31</f>
        <v>84</v>
      </c>
      <c r="U21" s="31">
        <f t="shared" si="10"/>
        <v>73.68421052631578</v>
      </c>
      <c r="V21" s="31">
        <f t="shared" si="11"/>
        <v>99.999999999999986</v>
      </c>
      <c r="W21" s="32">
        <v>3.93</v>
      </c>
      <c r="X21" s="26"/>
    </row>
    <row r="22" spans="1:24" s="27" customFormat="1" ht="12.75" x14ac:dyDescent="0.2">
      <c r="A22" s="10">
        <v>15</v>
      </c>
      <c r="B22" s="28" t="s">
        <v>24</v>
      </c>
      <c r="C22" s="29">
        <f t="shared" si="0"/>
        <v>302</v>
      </c>
      <c r="D22" s="30">
        <f>1+2+57</f>
        <v>60</v>
      </c>
      <c r="E22" s="31">
        <f t="shared" si="1"/>
        <v>19.867549668874172</v>
      </c>
      <c r="F22" s="30">
        <f>115+127</f>
        <v>242</v>
      </c>
      <c r="G22" s="31">
        <f t="shared" si="2"/>
        <v>80.132450331125824</v>
      </c>
      <c r="H22" s="31">
        <f t="shared" si="3"/>
        <v>100</v>
      </c>
      <c r="I22" s="32">
        <v>4.21</v>
      </c>
      <c r="J22" s="29">
        <f t="shared" si="4"/>
        <v>201</v>
      </c>
      <c r="K22" s="30">
        <f>0+1+16</f>
        <v>17</v>
      </c>
      <c r="L22" s="31">
        <f t="shared" si="5"/>
        <v>8.4577114427860707</v>
      </c>
      <c r="M22" s="30">
        <f>75+109</f>
        <v>184</v>
      </c>
      <c r="N22" s="31">
        <f t="shared" si="6"/>
        <v>91.542288557213936</v>
      </c>
      <c r="O22" s="31">
        <f t="shared" si="7"/>
        <v>100</v>
      </c>
      <c r="P22" s="32">
        <v>4.45</v>
      </c>
      <c r="Q22" s="29">
        <f t="shared" si="8"/>
        <v>114</v>
      </c>
      <c r="R22" s="30">
        <f>0+1+8</f>
        <v>9</v>
      </c>
      <c r="S22" s="31">
        <f t="shared" si="9"/>
        <v>7.8947368421052628</v>
      </c>
      <c r="T22" s="30">
        <f>39+66</f>
        <v>105</v>
      </c>
      <c r="U22" s="31">
        <f t="shared" si="10"/>
        <v>92.10526315789474</v>
      </c>
      <c r="V22" s="31">
        <f t="shared" si="11"/>
        <v>100</v>
      </c>
      <c r="W22" s="32">
        <v>4.49</v>
      </c>
      <c r="X22" s="26"/>
    </row>
    <row r="23" spans="1:24" s="27" customFormat="1" ht="12.75" x14ac:dyDescent="0.2">
      <c r="A23" s="10">
        <v>16</v>
      </c>
      <c r="B23" s="28" t="s">
        <v>36</v>
      </c>
      <c r="C23" s="29">
        <f t="shared" si="0"/>
        <v>302</v>
      </c>
      <c r="D23" s="30">
        <f>1+3+15</f>
        <v>19</v>
      </c>
      <c r="E23" s="31">
        <f t="shared" si="1"/>
        <v>6.2913907284768218</v>
      </c>
      <c r="F23" s="30">
        <f>117+166</f>
        <v>283</v>
      </c>
      <c r="G23" s="31">
        <f t="shared" si="2"/>
        <v>93.708609271523187</v>
      </c>
      <c r="H23" s="31">
        <f t="shared" si="3"/>
        <v>100.00000000000001</v>
      </c>
      <c r="I23" s="32">
        <v>4.47</v>
      </c>
      <c r="J23" s="29">
        <f t="shared" si="4"/>
        <v>201</v>
      </c>
      <c r="K23" s="30">
        <f>0+6+32</f>
        <v>38</v>
      </c>
      <c r="L23" s="31">
        <f t="shared" si="5"/>
        <v>18.905472636815919</v>
      </c>
      <c r="M23" s="30">
        <f>47+116</f>
        <v>163</v>
      </c>
      <c r="N23" s="31">
        <f t="shared" si="6"/>
        <v>81.094527363184071</v>
      </c>
      <c r="O23" s="31">
        <f t="shared" si="7"/>
        <v>99.999999999999986</v>
      </c>
      <c r="P23" s="32">
        <v>4.3600000000000003</v>
      </c>
      <c r="Q23" s="29">
        <f t="shared" si="8"/>
        <v>114</v>
      </c>
      <c r="R23" s="30">
        <f>1+1+7</f>
        <v>9</v>
      </c>
      <c r="S23" s="31">
        <f t="shared" si="9"/>
        <v>7.8947368421052628</v>
      </c>
      <c r="T23" s="30">
        <f>59+46</f>
        <v>105</v>
      </c>
      <c r="U23" s="31">
        <f t="shared" si="10"/>
        <v>92.10526315789474</v>
      </c>
      <c r="V23" s="31">
        <f t="shared" si="11"/>
        <v>100</v>
      </c>
      <c r="W23" s="32">
        <v>4.3</v>
      </c>
      <c r="X23" s="26"/>
    </row>
    <row r="24" spans="1:24" s="27" customFormat="1" ht="12.75" x14ac:dyDescent="0.2">
      <c r="A24" s="10">
        <v>17</v>
      </c>
      <c r="B24" s="28" t="s">
        <v>47</v>
      </c>
      <c r="C24" s="29">
        <f t="shared" si="0"/>
        <v>302</v>
      </c>
      <c r="D24" s="30">
        <f>1+2+74</f>
        <v>77</v>
      </c>
      <c r="E24" s="31">
        <f t="shared" si="1"/>
        <v>25.496688741721858</v>
      </c>
      <c r="F24" s="30">
        <f>129+96</f>
        <v>225</v>
      </c>
      <c r="G24" s="31">
        <f t="shared" si="2"/>
        <v>74.503311258278146</v>
      </c>
      <c r="H24" s="31">
        <f t="shared" si="3"/>
        <v>100</v>
      </c>
      <c r="I24" s="32">
        <v>4.05</v>
      </c>
      <c r="J24" s="29">
        <f t="shared" si="4"/>
        <v>201</v>
      </c>
      <c r="K24" s="30">
        <f>0+3+28</f>
        <v>31</v>
      </c>
      <c r="L24" s="31">
        <f t="shared" si="5"/>
        <v>15.422885572139302</v>
      </c>
      <c r="M24" s="30">
        <f>87+83</f>
        <v>170</v>
      </c>
      <c r="N24" s="31">
        <f t="shared" si="6"/>
        <v>84.577114427860707</v>
      </c>
      <c r="O24" s="31">
        <f t="shared" si="7"/>
        <v>100.00000000000001</v>
      </c>
      <c r="P24" s="32">
        <v>4.24</v>
      </c>
      <c r="Q24" s="29">
        <f t="shared" si="8"/>
        <v>114</v>
      </c>
      <c r="R24" s="30">
        <f>1+3+8</f>
        <v>12</v>
      </c>
      <c r="S24" s="31">
        <f t="shared" si="9"/>
        <v>10.526315789473683</v>
      </c>
      <c r="T24" s="30">
        <f>45+57</f>
        <v>102</v>
      </c>
      <c r="U24" s="31">
        <f t="shared" si="10"/>
        <v>89.473684210526315</v>
      </c>
      <c r="V24" s="31">
        <f t="shared" si="11"/>
        <v>100</v>
      </c>
      <c r="W24" s="32">
        <v>4.3499999999999996</v>
      </c>
      <c r="X24" s="26"/>
    </row>
    <row r="25" spans="1:24" s="27" customFormat="1" ht="12.75" x14ac:dyDescent="0.2">
      <c r="A25" s="10">
        <v>18</v>
      </c>
      <c r="B25" s="28" t="s">
        <v>25</v>
      </c>
      <c r="C25" s="29">
        <f t="shared" si="0"/>
        <v>302</v>
      </c>
      <c r="D25" s="30">
        <f>1+2+113</f>
        <v>116</v>
      </c>
      <c r="E25" s="31">
        <f t="shared" si="1"/>
        <v>38.410596026490069</v>
      </c>
      <c r="F25" s="30">
        <f>98+88</f>
        <v>186</v>
      </c>
      <c r="G25" s="31">
        <f t="shared" si="2"/>
        <v>61.589403973509938</v>
      </c>
      <c r="H25" s="31">
        <f t="shared" si="3"/>
        <v>100</v>
      </c>
      <c r="I25" s="32">
        <v>3.89</v>
      </c>
      <c r="J25" s="29">
        <f t="shared" si="4"/>
        <v>201</v>
      </c>
      <c r="K25" s="30">
        <f>0+2+33</f>
        <v>35</v>
      </c>
      <c r="L25" s="31">
        <f t="shared" si="5"/>
        <v>17.412935323383085</v>
      </c>
      <c r="M25" s="30">
        <f>67+99</f>
        <v>166</v>
      </c>
      <c r="N25" s="31">
        <f t="shared" si="6"/>
        <v>82.587064676616919</v>
      </c>
      <c r="O25" s="31">
        <f t="shared" si="7"/>
        <v>100</v>
      </c>
      <c r="P25" s="32">
        <v>4.3099999999999996</v>
      </c>
      <c r="Q25" s="29">
        <f t="shared" si="8"/>
        <v>114</v>
      </c>
      <c r="R25" s="30">
        <f>0+1+3</f>
        <v>4</v>
      </c>
      <c r="S25" s="31">
        <f t="shared" si="9"/>
        <v>3.5087719298245612</v>
      </c>
      <c r="T25" s="30">
        <f>43+67</f>
        <v>110</v>
      </c>
      <c r="U25" s="31">
        <f t="shared" si="10"/>
        <v>96.491228070175438</v>
      </c>
      <c r="V25" s="31">
        <f t="shared" si="11"/>
        <v>100</v>
      </c>
      <c r="W25" s="32">
        <v>4.54</v>
      </c>
      <c r="X25" s="26"/>
    </row>
    <row r="26" spans="1:24" s="27" customFormat="1" ht="12.75" x14ac:dyDescent="0.2">
      <c r="A26" s="10">
        <v>19</v>
      </c>
      <c r="B26" s="28" t="s">
        <v>26</v>
      </c>
      <c r="C26" s="29">
        <f t="shared" si="0"/>
        <v>302</v>
      </c>
      <c r="D26" s="30">
        <f>1+1+114</f>
        <v>116</v>
      </c>
      <c r="E26" s="31">
        <f t="shared" si="1"/>
        <v>38.410596026490069</v>
      </c>
      <c r="F26" s="30">
        <f>92+94</f>
        <v>186</v>
      </c>
      <c r="G26" s="31">
        <f t="shared" si="2"/>
        <v>61.589403973509938</v>
      </c>
      <c r="H26" s="31">
        <f t="shared" si="3"/>
        <v>100</v>
      </c>
      <c r="I26" s="32">
        <v>3.92</v>
      </c>
      <c r="J26" s="29">
        <f t="shared" si="4"/>
        <v>201</v>
      </c>
      <c r="K26" s="30">
        <f>0+2+28</f>
        <v>30</v>
      </c>
      <c r="L26" s="31">
        <f t="shared" si="5"/>
        <v>14.925373134328357</v>
      </c>
      <c r="M26" s="30">
        <f>68+103</f>
        <v>171</v>
      </c>
      <c r="N26" s="31">
        <f t="shared" si="6"/>
        <v>85.074626865671647</v>
      </c>
      <c r="O26" s="31">
        <f t="shared" si="7"/>
        <v>100</v>
      </c>
      <c r="P26" s="32">
        <v>4.3499999999999996</v>
      </c>
      <c r="Q26" s="29">
        <f t="shared" si="8"/>
        <v>114</v>
      </c>
      <c r="R26" s="30">
        <f>0+0+4</f>
        <v>4</v>
      </c>
      <c r="S26" s="31">
        <f t="shared" si="9"/>
        <v>3.5087719298245612</v>
      </c>
      <c r="T26" s="30">
        <f>45+65</f>
        <v>110</v>
      </c>
      <c r="U26" s="31">
        <f t="shared" si="10"/>
        <v>96.491228070175438</v>
      </c>
      <c r="V26" s="31">
        <f t="shared" si="11"/>
        <v>100</v>
      </c>
      <c r="W26" s="32">
        <v>4.54</v>
      </c>
      <c r="X26" s="26"/>
    </row>
    <row r="27" spans="1:24" s="27" customFormat="1" ht="12.75" x14ac:dyDescent="0.2">
      <c r="A27" s="10">
        <v>20</v>
      </c>
      <c r="B27" s="28" t="s">
        <v>27</v>
      </c>
      <c r="C27" s="29">
        <f t="shared" si="0"/>
        <v>302</v>
      </c>
      <c r="D27" s="30">
        <f>1+8+114</f>
        <v>123</v>
      </c>
      <c r="E27" s="31">
        <f t="shared" si="1"/>
        <v>40.728476821192054</v>
      </c>
      <c r="F27" s="30">
        <f>95+84</f>
        <v>179</v>
      </c>
      <c r="G27" s="31">
        <f t="shared" si="2"/>
        <v>59.271523178807954</v>
      </c>
      <c r="H27" s="31">
        <f t="shared" si="3"/>
        <v>100</v>
      </c>
      <c r="I27" s="32">
        <v>3.84</v>
      </c>
      <c r="J27" s="29">
        <f t="shared" si="4"/>
        <v>201</v>
      </c>
      <c r="K27" s="30">
        <f>0+2+38</f>
        <v>40</v>
      </c>
      <c r="L27" s="31">
        <f t="shared" si="5"/>
        <v>19.900497512437813</v>
      </c>
      <c r="M27" s="30">
        <f>61+100</f>
        <v>161</v>
      </c>
      <c r="N27" s="31">
        <f t="shared" si="6"/>
        <v>80.099502487562191</v>
      </c>
      <c r="O27" s="31">
        <f t="shared" si="7"/>
        <v>100</v>
      </c>
      <c r="P27" s="32">
        <v>4.29</v>
      </c>
      <c r="Q27" s="29">
        <f t="shared" si="8"/>
        <v>114</v>
      </c>
      <c r="R27" s="30">
        <f>0+1+5</f>
        <v>6</v>
      </c>
      <c r="S27" s="31">
        <f t="shared" si="9"/>
        <v>5.2631578947368416</v>
      </c>
      <c r="T27" s="30">
        <f>41+67</f>
        <v>108</v>
      </c>
      <c r="U27" s="31">
        <f t="shared" si="10"/>
        <v>94.73684210526315</v>
      </c>
      <c r="V27" s="31">
        <f t="shared" si="11"/>
        <v>99.999999999999986</v>
      </c>
      <c r="W27" s="32">
        <v>4.53</v>
      </c>
      <c r="X27" s="26"/>
    </row>
    <row r="28" spans="1:24" s="27" customFormat="1" ht="12.75" x14ac:dyDescent="0.2">
      <c r="A28" s="10">
        <v>21</v>
      </c>
      <c r="B28" s="28" t="s">
        <v>28</v>
      </c>
      <c r="C28" s="29">
        <f t="shared" si="0"/>
        <v>302</v>
      </c>
      <c r="D28" s="30">
        <f>1+0+71</f>
        <v>72</v>
      </c>
      <c r="E28" s="31">
        <f t="shared" si="1"/>
        <v>23.841059602649008</v>
      </c>
      <c r="F28" s="30">
        <f>104+126</f>
        <v>230</v>
      </c>
      <c r="G28" s="31">
        <f t="shared" si="2"/>
        <v>76.158940397350989</v>
      </c>
      <c r="H28" s="31">
        <f t="shared" si="3"/>
        <v>100</v>
      </c>
      <c r="I28" s="32">
        <v>4.17</v>
      </c>
      <c r="J28" s="29">
        <f t="shared" si="4"/>
        <v>201</v>
      </c>
      <c r="K28" s="30">
        <f>0+1+17</f>
        <v>18</v>
      </c>
      <c r="L28" s="31">
        <f t="shared" si="5"/>
        <v>8.9552238805970141</v>
      </c>
      <c r="M28" s="30">
        <f>63+120</f>
        <v>183</v>
      </c>
      <c r="N28" s="31">
        <f t="shared" si="6"/>
        <v>91.044776119402982</v>
      </c>
      <c r="O28" s="31">
        <f t="shared" si="7"/>
        <v>100</v>
      </c>
      <c r="P28" s="32">
        <v>4.5</v>
      </c>
      <c r="Q28" s="29">
        <f t="shared" si="8"/>
        <v>114</v>
      </c>
      <c r="R28" s="30">
        <f>0+1+3</f>
        <v>4</v>
      </c>
      <c r="S28" s="31">
        <f t="shared" si="9"/>
        <v>3.5087719298245612</v>
      </c>
      <c r="T28" s="30">
        <f>40+70</f>
        <v>110</v>
      </c>
      <c r="U28" s="31">
        <f t="shared" si="10"/>
        <v>96.491228070175438</v>
      </c>
      <c r="V28" s="31">
        <f t="shared" si="11"/>
        <v>100</v>
      </c>
      <c r="W28" s="32">
        <v>4.57</v>
      </c>
      <c r="X28" s="26"/>
    </row>
    <row r="29" spans="1:24" s="27" customFormat="1" ht="12.75" x14ac:dyDescent="0.2">
      <c r="A29" s="10">
        <v>22</v>
      </c>
      <c r="B29" s="28" t="s">
        <v>29</v>
      </c>
      <c r="C29" s="29">
        <f t="shared" si="0"/>
        <v>302</v>
      </c>
      <c r="D29" s="30">
        <f>1+1+75</f>
        <v>77</v>
      </c>
      <c r="E29" s="31">
        <f t="shared" si="1"/>
        <v>25.496688741721858</v>
      </c>
      <c r="F29" s="30">
        <f>137+88</f>
        <v>225</v>
      </c>
      <c r="G29" s="31">
        <f t="shared" si="2"/>
        <v>74.503311258278146</v>
      </c>
      <c r="H29" s="31">
        <f t="shared" si="3"/>
        <v>100</v>
      </c>
      <c r="I29" s="32">
        <v>4.03</v>
      </c>
      <c r="J29" s="29">
        <f t="shared" si="4"/>
        <v>201</v>
      </c>
      <c r="K29" s="30">
        <f>1+0+21</f>
        <v>22</v>
      </c>
      <c r="L29" s="31">
        <f t="shared" si="5"/>
        <v>10.945273631840797</v>
      </c>
      <c r="M29" s="30">
        <f>100+79</f>
        <v>179</v>
      </c>
      <c r="N29" s="31">
        <f t="shared" si="6"/>
        <v>89.054726368159209</v>
      </c>
      <c r="O29" s="31">
        <f t="shared" si="7"/>
        <v>100</v>
      </c>
      <c r="P29" s="32">
        <v>4.2699999999999996</v>
      </c>
      <c r="Q29" s="29">
        <f t="shared" si="8"/>
        <v>114</v>
      </c>
      <c r="R29" s="30">
        <f>2+1+10</f>
        <v>13</v>
      </c>
      <c r="S29" s="31">
        <f t="shared" si="9"/>
        <v>11.403508771929824</v>
      </c>
      <c r="T29" s="30">
        <f>45+56</f>
        <v>101</v>
      </c>
      <c r="U29" s="31">
        <f t="shared" si="10"/>
        <v>88.596491228070178</v>
      </c>
      <c r="V29" s="31">
        <f t="shared" si="11"/>
        <v>100</v>
      </c>
      <c r="W29" s="32">
        <v>4.33</v>
      </c>
      <c r="X29" s="26"/>
    </row>
    <row r="30" spans="1:24" s="27" customFormat="1" ht="12.75" x14ac:dyDescent="0.2">
      <c r="A30" s="10">
        <v>23</v>
      </c>
      <c r="B30" s="28" t="s">
        <v>30</v>
      </c>
      <c r="C30" s="29">
        <f t="shared" si="0"/>
        <v>302</v>
      </c>
      <c r="D30" s="30">
        <f>1+1+46</f>
        <v>48</v>
      </c>
      <c r="E30" s="31">
        <f t="shared" si="1"/>
        <v>15.894039735099339</v>
      </c>
      <c r="F30" s="30">
        <f>150+104</f>
        <v>254</v>
      </c>
      <c r="G30" s="31">
        <f t="shared" si="2"/>
        <v>84.105960264900659</v>
      </c>
      <c r="H30" s="31">
        <f t="shared" si="3"/>
        <v>100</v>
      </c>
      <c r="I30" s="32">
        <v>4.18</v>
      </c>
      <c r="J30" s="29">
        <f t="shared" si="4"/>
        <v>201</v>
      </c>
      <c r="K30" s="30">
        <f>0+1+15</f>
        <v>16</v>
      </c>
      <c r="L30" s="31">
        <f t="shared" si="5"/>
        <v>7.9601990049751246</v>
      </c>
      <c r="M30" s="30">
        <f>81+104</f>
        <v>185</v>
      </c>
      <c r="N30" s="31">
        <f t="shared" si="6"/>
        <v>92.039800995024876</v>
      </c>
      <c r="O30" s="31">
        <f t="shared" si="7"/>
        <v>100</v>
      </c>
      <c r="P30" s="32">
        <v>4.43</v>
      </c>
      <c r="Q30" s="29">
        <f t="shared" si="8"/>
        <v>114</v>
      </c>
      <c r="R30" s="30">
        <f>1+0+7</f>
        <v>8</v>
      </c>
      <c r="S30" s="31">
        <f t="shared" si="9"/>
        <v>7.0175438596491224</v>
      </c>
      <c r="T30" s="30">
        <f>41+65</f>
        <v>106</v>
      </c>
      <c r="U30" s="31">
        <f t="shared" si="10"/>
        <v>92.982456140350877</v>
      </c>
      <c r="V30" s="31">
        <f t="shared" si="11"/>
        <v>100</v>
      </c>
      <c r="W30" s="32">
        <v>4.4800000000000004</v>
      </c>
      <c r="X30" s="26"/>
    </row>
    <row r="31" spans="1:24" s="27" customFormat="1" ht="12.75" x14ac:dyDescent="0.2">
      <c r="A31" s="10">
        <v>24</v>
      </c>
      <c r="B31" s="28" t="s">
        <v>31</v>
      </c>
      <c r="C31" s="29">
        <f t="shared" si="0"/>
        <v>302</v>
      </c>
      <c r="D31" s="30">
        <f>1+12+162</f>
        <v>175</v>
      </c>
      <c r="E31" s="31">
        <f t="shared" si="1"/>
        <v>57.947019867549663</v>
      </c>
      <c r="F31" s="30">
        <f>64+63</f>
        <v>127</v>
      </c>
      <c r="G31" s="31">
        <f t="shared" si="2"/>
        <v>42.05298013245033</v>
      </c>
      <c r="H31" s="31">
        <f t="shared" si="3"/>
        <v>100</v>
      </c>
      <c r="I31" s="32">
        <v>3.58</v>
      </c>
      <c r="J31" s="29">
        <f t="shared" si="4"/>
        <v>201</v>
      </c>
      <c r="K31" s="30">
        <f>0+4+84</f>
        <v>88</v>
      </c>
      <c r="L31" s="31">
        <f t="shared" si="5"/>
        <v>43.781094527363187</v>
      </c>
      <c r="M31" s="30">
        <f>59+54</f>
        <v>113</v>
      </c>
      <c r="N31" s="31">
        <f t="shared" si="6"/>
        <v>56.218905472636813</v>
      </c>
      <c r="O31" s="31">
        <f t="shared" si="7"/>
        <v>100</v>
      </c>
      <c r="P31" s="32">
        <v>3.81</v>
      </c>
      <c r="Q31" s="29">
        <f t="shared" si="8"/>
        <v>114</v>
      </c>
      <c r="R31" s="30">
        <f>0+2+24</f>
        <v>26</v>
      </c>
      <c r="S31" s="31">
        <f t="shared" si="9"/>
        <v>22.807017543859647</v>
      </c>
      <c r="T31" s="30">
        <f>41+47</f>
        <v>88</v>
      </c>
      <c r="U31" s="31">
        <f t="shared" si="10"/>
        <v>77.192982456140342</v>
      </c>
      <c r="V31" s="31">
        <f t="shared" si="11"/>
        <v>99.999999999999986</v>
      </c>
      <c r="W31" s="32">
        <v>4.17</v>
      </c>
      <c r="X31" s="26"/>
    </row>
    <row r="32" spans="1:24" s="27" customFormat="1" ht="12.75" x14ac:dyDescent="0.2">
      <c r="A32" s="10">
        <v>25</v>
      </c>
      <c r="B32" s="28" t="s">
        <v>32</v>
      </c>
      <c r="C32" s="29">
        <f t="shared" si="0"/>
        <v>302</v>
      </c>
      <c r="D32" s="30">
        <f>1+45+121</f>
        <v>167</v>
      </c>
      <c r="E32" s="31">
        <f t="shared" si="1"/>
        <v>55.298013245033118</v>
      </c>
      <c r="F32" s="30">
        <f>74+61</f>
        <v>135</v>
      </c>
      <c r="G32" s="31">
        <f t="shared" si="2"/>
        <v>44.701986754966889</v>
      </c>
      <c r="H32" s="31">
        <f t="shared" si="3"/>
        <v>100</v>
      </c>
      <c r="I32" s="32">
        <v>3.49</v>
      </c>
      <c r="J32" s="29">
        <f t="shared" si="4"/>
        <v>201</v>
      </c>
      <c r="K32" s="30">
        <f>1+2+71</f>
        <v>74</v>
      </c>
      <c r="L32" s="31">
        <f t="shared" si="5"/>
        <v>36.815920398009951</v>
      </c>
      <c r="M32" s="30">
        <f>74+53</f>
        <v>127</v>
      </c>
      <c r="N32" s="31">
        <f t="shared" si="6"/>
        <v>63.184079601990049</v>
      </c>
      <c r="O32" s="31">
        <f t="shared" si="7"/>
        <v>100</v>
      </c>
      <c r="P32" s="32">
        <v>3.88</v>
      </c>
      <c r="Q32" s="29">
        <f t="shared" si="8"/>
        <v>114</v>
      </c>
      <c r="R32" s="30">
        <f>0+2+18</f>
        <v>20</v>
      </c>
      <c r="S32" s="31">
        <f t="shared" si="9"/>
        <v>17.543859649122805</v>
      </c>
      <c r="T32" s="30">
        <f>49+45</f>
        <v>94</v>
      </c>
      <c r="U32" s="31">
        <f t="shared" si="10"/>
        <v>82.456140350877192</v>
      </c>
      <c r="V32" s="31">
        <f t="shared" si="11"/>
        <v>100</v>
      </c>
      <c r="W32" s="32">
        <v>4.2</v>
      </c>
      <c r="X32" s="26"/>
    </row>
    <row r="33" spans="1:24" s="6" customFormat="1" ht="13.5" thickBot="1" x14ac:dyDescent="0.25">
      <c r="A33" s="38"/>
      <c r="B33" s="39"/>
      <c r="C33" s="40">
        <f>SUM(C8:C32)/25</f>
        <v>302</v>
      </c>
      <c r="D33" s="41">
        <f>SUM(D8:D32)/25</f>
        <v>105.4</v>
      </c>
      <c r="E33" s="42">
        <f>(D33/C33)*100</f>
        <v>34.900662251655632</v>
      </c>
      <c r="F33" s="41">
        <f>SUM(F8:F32)/25</f>
        <v>196.6</v>
      </c>
      <c r="G33" s="42">
        <f>(F33/C33)*100</f>
        <v>65.099337748344368</v>
      </c>
      <c r="H33" s="42">
        <f>E33+G33</f>
        <v>100</v>
      </c>
      <c r="I33" s="43">
        <f>SUM(I8:I32)/25</f>
        <v>3.8739999999999997</v>
      </c>
      <c r="J33" s="40">
        <f>SUM(J8:J32)/25</f>
        <v>201</v>
      </c>
      <c r="K33" s="41">
        <f>SUM(K8:K32)/25</f>
        <v>45.84</v>
      </c>
      <c r="L33" s="42">
        <f>K33/J33*100</f>
        <v>22.805970149253731</v>
      </c>
      <c r="M33" s="41">
        <f>SUM(M8:M32)/25</f>
        <v>155.16</v>
      </c>
      <c r="N33" s="42">
        <f>M33/J33*100</f>
        <v>77.194029850746276</v>
      </c>
      <c r="O33" s="42">
        <f>L33+N33</f>
        <v>100</v>
      </c>
      <c r="P33" s="43">
        <f>SUM(P8:P32)/25</f>
        <v>4.1311999999999998</v>
      </c>
      <c r="Q33" s="40">
        <f>SUM(Q8:Q32)/25</f>
        <v>114</v>
      </c>
      <c r="R33" s="41">
        <f>SUM(R8:R32)/25</f>
        <v>13.92</v>
      </c>
      <c r="S33" s="42">
        <f>R33/Q33*100</f>
        <v>12.210526315789473</v>
      </c>
      <c r="T33" s="41">
        <f>SUM(T8:T32)/25</f>
        <v>100.08</v>
      </c>
      <c r="U33" s="42">
        <f>T33/Q33*100</f>
        <v>87.789473684210535</v>
      </c>
      <c r="V33" s="42">
        <f>S33+U33</f>
        <v>100</v>
      </c>
      <c r="W33" s="43">
        <f>SUM(W8:W32)/25</f>
        <v>4.3108000000000004</v>
      </c>
      <c r="X33" s="35"/>
    </row>
    <row r="34" spans="1:24" ht="15" customHeight="1" x14ac:dyDescent="0.25">
      <c r="B34" s="3"/>
      <c r="C34" s="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1"/>
    </row>
    <row r="35" spans="1:24" s="65" customFormat="1" ht="15.75" customHeight="1" x14ac:dyDescent="0.3">
      <c r="B35" s="67" t="s">
        <v>0</v>
      </c>
      <c r="C35" s="67"/>
      <c r="D35" s="66"/>
      <c r="E35" s="66"/>
      <c r="F35" s="66"/>
      <c r="G35" s="66"/>
      <c r="H35" s="74"/>
      <c r="I35" s="75"/>
      <c r="J35" s="66"/>
      <c r="K35" s="66"/>
      <c r="L35" s="75"/>
      <c r="M35" s="66"/>
      <c r="N35" s="66"/>
      <c r="O35" s="66"/>
      <c r="P35" s="66"/>
      <c r="Q35" s="66"/>
      <c r="R35" s="74"/>
      <c r="S35" s="75"/>
      <c r="T35" s="66"/>
      <c r="U35" s="66"/>
      <c r="V35" s="66"/>
      <c r="W35" s="66"/>
      <c r="X35" s="66"/>
    </row>
    <row r="36" spans="1:24" ht="15.75" customHeight="1" thickBot="1" x14ac:dyDescent="0.35">
      <c r="B36" s="8"/>
      <c r="C36" s="7"/>
      <c r="D36" s="7"/>
      <c r="E36" s="7"/>
      <c r="F36" s="7"/>
      <c r="G36" s="7"/>
      <c r="H36" s="15"/>
      <c r="I36" s="14"/>
      <c r="J36" s="3"/>
      <c r="K36" s="3"/>
      <c r="L36" s="14"/>
      <c r="M36" s="3"/>
      <c r="N36" s="3"/>
      <c r="O36" s="3"/>
      <c r="P36" s="3"/>
      <c r="Q36" s="3"/>
      <c r="R36" s="15"/>
      <c r="S36" s="14"/>
      <c r="T36" s="3"/>
      <c r="U36" s="13"/>
      <c r="V36" s="3"/>
      <c r="W36" s="3"/>
      <c r="X36" s="1"/>
    </row>
    <row r="37" spans="1:24" ht="17.25" x14ac:dyDescent="0.3">
      <c r="B37" s="76" t="s">
        <v>3</v>
      </c>
      <c r="C37" s="85" t="s">
        <v>33</v>
      </c>
      <c r="D37" s="85" t="s">
        <v>34</v>
      </c>
      <c r="E37" s="86" t="s">
        <v>10</v>
      </c>
    </row>
    <row r="38" spans="1:24" ht="17.25" x14ac:dyDescent="0.25">
      <c r="B38" s="77" t="s">
        <v>40</v>
      </c>
      <c r="C38" s="87">
        <v>105</v>
      </c>
      <c r="D38" s="88">
        <f>E33</f>
        <v>34.900662251655632</v>
      </c>
      <c r="E38" s="89">
        <f>I33</f>
        <v>3.8739999999999997</v>
      </c>
      <c r="I38" s="16"/>
      <c r="J38" s="11"/>
      <c r="K38" s="11"/>
    </row>
    <row r="39" spans="1:24" ht="17.25" x14ac:dyDescent="0.25">
      <c r="B39" s="77" t="s">
        <v>41</v>
      </c>
      <c r="C39" s="90">
        <v>197</v>
      </c>
      <c r="D39" s="91">
        <f>G33</f>
        <v>65.099337748344368</v>
      </c>
      <c r="E39" s="92"/>
      <c r="I39" s="16"/>
      <c r="J39" s="11"/>
      <c r="K39" s="11"/>
    </row>
    <row r="40" spans="1:24" ht="18" thickBot="1" x14ac:dyDescent="0.3">
      <c r="B40" s="78" t="s">
        <v>46</v>
      </c>
      <c r="C40" s="93">
        <f>SUM(C38:C39)</f>
        <v>302</v>
      </c>
      <c r="D40" s="94">
        <f>SUM(D38:D39)</f>
        <v>100</v>
      </c>
      <c r="E40" s="95"/>
      <c r="G40" s="4"/>
      <c r="I40" s="16"/>
      <c r="J40" s="11"/>
      <c r="K40" s="4"/>
      <c r="L40" s="4"/>
      <c r="M40" s="4"/>
      <c r="O40" s="4"/>
      <c r="P40" s="4"/>
      <c r="Q40" s="4"/>
      <c r="R40" s="4"/>
      <c r="S40" s="4"/>
      <c r="T40" s="4"/>
      <c r="U40" s="4"/>
      <c r="W40" s="4"/>
    </row>
    <row r="41" spans="1:24" ht="12.75" customHeight="1" thickBot="1" x14ac:dyDescent="0.35">
      <c r="B41" s="79"/>
    </row>
    <row r="42" spans="1:24" ht="17.25" x14ac:dyDescent="0.3">
      <c r="B42" s="80" t="s">
        <v>4</v>
      </c>
      <c r="C42" s="85" t="s">
        <v>33</v>
      </c>
      <c r="D42" s="85" t="s">
        <v>34</v>
      </c>
      <c r="E42" s="86" t="s">
        <v>10</v>
      </c>
    </row>
    <row r="43" spans="1:24" ht="17.25" x14ac:dyDescent="0.25">
      <c r="B43" s="77" t="s">
        <v>40</v>
      </c>
      <c r="C43" s="87">
        <v>46</v>
      </c>
      <c r="D43" s="88">
        <f>L33</f>
        <v>22.805970149253731</v>
      </c>
      <c r="E43" s="89">
        <f>P33</f>
        <v>4.1311999999999998</v>
      </c>
    </row>
    <row r="44" spans="1:24" ht="17.25" x14ac:dyDescent="0.25">
      <c r="B44" s="77" t="s">
        <v>41</v>
      </c>
      <c r="C44" s="90">
        <v>155</v>
      </c>
      <c r="D44" s="91">
        <f>N33</f>
        <v>77.194029850746276</v>
      </c>
      <c r="E44" s="92"/>
    </row>
    <row r="45" spans="1:24" ht="18" thickBot="1" x14ac:dyDescent="0.3">
      <c r="B45" s="78" t="s">
        <v>46</v>
      </c>
      <c r="C45" s="93">
        <f>SUM(C43:C44)</f>
        <v>201</v>
      </c>
      <c r="D45" s="94">
        <f>SUM(D43:D44)</f>
        <v>100</v>
      </c>
      <c r="E45" s="95"/>
      <c r="G45" s="4"/>
      <c r="I45" s="4"/>
      <c r="J45" s="4"/>
      <c r="K45" s="4"/>
      <c r="L45" s="4"/>
      <c r="M45" s="4"/>
      <c r="O45" s="4"/>
      <c r="P45" s="4"/>
      <c r="Q45" s="4"/>
      <c r="R45" s="4"/>
      <c r="S45" s="4"/>
      <c r="T45" s="4"/>
      <c r="U45" s="4"/>
      <c r="W45" s="4"/>
    </row>
    <row r="46" spans="1:24" ht="12.75" customHeight="1" thickBot="1" x14ac:dyDescent="0.35">
      <c r="B46" s="79"/>
    </row>
    <row r="47" spans="1:24" ht="17.25" x14ac:dyDescent="0.3">
      <c r="B47" s="81" t="s">
        <v>5</v>
      </c>
      <c r="C47" s="85" t="s">
        <v>33</v>
      </c>
      <c r="D47" s="85" t="s">
        <v>34</v>
      </c>
      <c r="E47" s="86" t="s">
        <v>10</v>
      </c>
    </row>
    <row r="48" spans="1:24" ht="17.25" x14ac:dyDescent="0.25">
      <c r="B48" s="82" t="s">
        <v>40</v>
      </c>
      <c r="C48" s="87">
        <v>14</v>
      </c>
      <c r="D48" s="88">
        <f>S33</f>
        <v>12.210526315789473</v>
      </c>
      <c r="E48" s="89">
        <f>W33</f>
        <v>4.3108000000000004</v>
      </c>
    </row>
    <row r="49" spans="2:23" ht="17.25" x14ac:dyDescent="0.25">
      <c r="B49" s="82" t="s">
        <v>41</v>
      </c>
      <c r="C49" s="90">
        <v>100</v>
      </c>
      <c r="D49" s="91">
        <f>U33</f>
        <v>87.789473684210535</v>
      </c>
      <c r="E49" s="92"/>
    </row>
    <row r="50" spans="2:23" ht="18" thickBot="1" x14ac:dyDescent="0.3">
      <c r="B50" s="78" t="s">
        <v>46</v>
      </c>
      <c r="C50" s="93">
        <f>SUM(C48:C49)</f>
        <v>114</v>
      </c>
      <c r="D50" s="94">
        <f>SUM(D48:D49)</f>
        <v>100</v>
      </c>
      <c r="E50" s="95"/>
      <c r="G50" s="4"/>
      <c r="I50" s="4"/>
      <c r="J50" s="4"/>
      <c r="K50" s="4"/>
      <c r="L50" s="4"/>
      <c r="M50" s="4"/>
      <c r="O50" s="4"/>
      <c r="P50" s="4"/>
      <c r="Q50" s="4"/>
      <c r="R50" s="4"/>
      <c r="S50" s="4"/>
      <c r="T50" s="4"/>
      <c r="U50" s="4"/>
      <c r="W50" s="4"/>
    </row>
    <row r="51" spans="2:23" ht="12.75" customHeight="1" thickBot="1" x14ac:dyDescent="0.35">
      <c r="B51" s="79"/>
    </row>
    <row r="52" spans="2:23" ht="17.25" x14ac:dyDescent="0.3">
      <c r="B52" s="83"/>
      <c r="C52" s="85" t="s">
        <v>33</v>
      </c>
      <c r="D52" s="85" t="s">
        <v>34</v>
      </c>
      <c r="E52" s="86" t="s">
        <v>10</v>
      </c>
    </row>
    <row r="53" spans="2:23" ht="17.25" x14ac:dyDescent="0.25">
      <c r="B53" s="82" t="s">
        <v>40</v>
      </c>
      <c r="C53" s="87">
        <f>D33+K33+R33</f>
        <v>165.16</v>
      </c>
      <c r="D53" s="88">
        <f>(E33+L33+S33)/3</f>
        <v>23.305719572232945</v>
      </c>
      <c r="E53" s="89">
        <f>(I33+P33+W33)/3</f>
        <v>4.1053333333333333</v>
      </c>
      <c r="H53" s="11"/>
      <c r="I53" s="11"/>
    </row>
    <row r="54" spans="2:23" ht="17.25" x14ac:dyDescent="0.25">
      <c r="B54" s="82" t="s">
        <v>41</v>
      </c>
      <c r="C54" s="90">
        <f>F33+M33+T33</f>
        <v>451.84</v>
      </c>
      <c r="D54" s="91">
        <f>(G33+N33+U33)/3</f>
        <v>76.694280427767055</v>
      </c>
      <c r="E54" s="92"/>
      <c r="H54" s="11"/>
      <c r="I54" s="11"/>
      <c r="J54" s="11"/>
    </row>
    <row r="55" spans="2:23" ht="18" thickBot="1" x14ac:dyDescent="0.3">
      <c r="B55" s="78" t="s">
        <v>46</v>
      </c>
      <c r="C55" s="93">
        <f>C33+J33+Q33</f>
        <v>617</v>
      </c>
      <c r="D55" s="94">
        <f>(H33+O33+V33)/3</f>
        <v>100</v>
      </c>
      <c r="E55" s="95"/>
      <c r="G55" s="4"/>
      <c r="H55" s="11"/>
      <c r="I55" s="11"/>
      <c r="J55" s="4"/>
      <c r="K55" s="4"/>
      <c r="L55" s="4"/>
      <c r="M55" s="4"/>
      <c r="O55" s="4"/>
      <c r="P55" s="4"/>
      <c r="Q55" s="4"/>
      <c r="R55" s="4"/>
      <c r="S55" s="4"/>
      <c r="T55" s="4"/>
      <c r="U55" s="4"/>
      <c r="W55" s="4"/>
    </row>
    <row r="56" spans="2:23" ht="12.75" customHeight="1" x14ac:dyDescent="0.3">
      <c r="B56" s="79"/>
      <c r="D56" s="9"/>
      <c r="E56" s="12"/>
    </row>
    <row r="57" spans="2:23" ht="12.75" customHeight="1" thickBot="1" x14ac:dyDescent="0.35">
      <c r="B57" s="79"/>
    </row>
    <row r="58" spans="2:23" ht="19.5" thickBot="1" x14ac:dyDescent="0.35">
      <c r="B58" s="84" t="s">
        <v>49</v>
      </c>
      <c r="C58" s="17"/>
      <c r="D58" s="24">
        <f>D54</f>
        <v>76.694280427767055</v>
      </c>
      <c r="E58" s="25">
        <f>E53</f>
        <v>4.1053333333333333</v>
      </c>
    </row>
    <row r="59" spans="2:23" ht="18.75" x14ac:dyDescent="0.3">
      <c r="B59" s="18"/>
      <c r="C59" s="19"/>
      <c r="D59" s="20"/>
      <c r="E59" s="21"/>
      <c r="F59" s="22"/>
      <c r="G59" s="23"/>
      <c r="I59" s="4"/>
      <c r="J59" s="4"/>
      <c r="K59" s="4"/>
      <c r="L59" s="4"/>
      <c r="M59" s="4"/>
      <c r="O59" s="4"/>
      <c r="P59" s="4"/>
      <c r="Q59" s="4"/>
      <c r="R59" s="4"/>
      <c r="S59" s="4"/>
      <c r="T59" s="4"/>
      <c r="U59" s="4"/>
      <c r="W59" s="4"/>
    </row>
    <row r="60" spans="2:23" ht="17.25" x14ac:dyDescent="0.3">
      <c r="B60" s="67" t="s">
        <v>42</v>
      </c>
    </row>
    <row r="61" spans="2:23" ht="17.25" x14ac:dyDescent="0.3">
      <c r="B61" s="68" t="s">
        <v>43</v>
      </c>
    </row>
    <row r="62" spans="2:23" ht="17.25" x14ac:dyDescent="0.3">
      <c r="B62" s="68" t="s">
        <v>44</v>
      </c>
    </row>
    <row r="63" spans="2:23" ht="17.25" x14ac:dyDescent="0.3">
      <c r="B63" s="68" t="s">
        <v>45</v>
      </c>
    </row>
    <row r="64" spans="2:23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</sheetData>
  <mergeCells count="33">
    <mergeCell ref="W6:W7"/>
    <mergeCell ref="J6:J7"/>
    <mergeCell ref="A5:A7"/>
    <mergeCell ref="V6:V7"/>
    <mergeCell ref="N6:N7"/>
    <mergeCell ref="H6:H7"/>
    <mergeCell ref="R6:R7"/>
    <mergeCell ref="L6:L7"/>
    <mergeCell ref="M6:M7"/>
    <mergeCell ref="O6:O7"/>
    <mergeCell ref="P6:P7"/>
    <mergeCell ref="Q6:Q7"/>
    <mergeCell ref="S6:S7"/>
    <mergeCell ref="T6:T7"/>
    <mergeCell ref="U6:U7"/>
    <mergeCell ref="Q5:W5"/>
    <mergeCell ref="J5:P5"/>
    <mergeCell ref="E38:E40"/>
    <mergeCell ref="E43:E45"/>
    <mergeCell ref="E48:E50"/>
    <mergeCell ref="E53:E55"/>
    <mergeCell ref="B1:W1"/>
    <mergeCell ref="B2:W2"/>
    <mergeCell ref="B3:W3"/>
    <mergeCell ref="B5:B7"/>
    <mergeCell ref="C5:I5"/>
    <mergeCell ref="C6:C7"/>
    <mergeCell ref="D6:D7"/>
    <mergeCell ref="E6:E7"/>
    <mergeCell ref="F6:F7"/>
    <mergeCell ref="K6:K7"/>
    <mergeCell ref="G6:G7"/>
    <mergeCell ref="I6:I7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KKP - 2021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upm</cp:lastModifiedBy>
  <cp:lastPrinted>2021-10-26T02:33:18Z</cp:lastPrinted>
  <dcterms:created xsi:type="dcterms:W3CDTF">2021-10-13T01:48:04Z</dcterms:created>
  <dcterms:modified xsi:type="dcterms:W3CDTF">2021-12-06T02:31:08Z</dcterms:modified>
</cp:coreProperties>
</file>